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lebcik\Desktop\výběrová řízení 2021\Přelouč jídelna\SOUPIS PRACÍ S VÝKAZEM VÝMĚR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Stavby" localSheetId="1">Stavba!$C$2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Stavby" localSheetId="1">Stavba!$D$2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Pol'!$A$1:$U$62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2" localSheetId="1">Stavba!$E$25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</workbook>
</file>

<file path=xl/calcChain.xml><?xml version="1.0" encoding="utf-8"?>
<calcChain xmlns="http://schemas.openxmlformats.org/spreadsheetml/2006/main">
  <c r="E26" i="1" l="1"/>
  <c r="E24" i="1"/>
  <c r="AC52" i="12"/>
  <c r="F39" i="1" s="1"/>
  <c r="AD52" i="12"/>
  <c r="G39" i="1" s="1"/>
  <c r="G8" i="12"/>
  <c r="K8" i="12"/>
  <c r="H49" i="1" s="1"/>
  <c r="I9" i="12"/>
  <c r="I8" i="12"/>
  <c r="G49" i="1" s="1"/>
  <c r="K9" i="12"/>
  <c r="M9" i="12"/>
  <c r="M8" i="12" s="1"/>
  <c r="O9" i="12"/>
  <c r="O8" i="12" s="1"/>
  <c r="Q9" i="12"/>
  <c r="Q8" i="12" s="1"/>
  <c r="U9" i="12"/>
  <c r="U8" i="12" s="1"/>
  <c r="I11" i="12"/>
  <c r="I10" i="12" s="1"/>
  <c r="G50" i="1" s="1"/>
  <c r="K11" i="12"/>
  <c r="K10" i="12" s="1"/>
  <c r="H50" i="1" s="1"/>
  <c r="M11" i="12"/>
  <c r="O11" i="12"/>
  <c r="O10" i="12" s="1"/>
  <c r="Q11" i="12"/>
  <c r="Q10" i="12" s="1"/>
  <c r="U11" i="12"/>
  <c r="G10" i="12"/>
  <c r="G52" i="12" s="1"/>
  <c r="I12" i="12"/>
  <c r="K12" i="12"/>
  <c r="O12" i="12"/>
  <c r="Q12" i="12"/>
  <c r="U12" i="12"/>
  <c r="U10" i="12"/>
  <c r="I13" i="12"/>
  <c r="K13" i="12"/>
  <c r="M13" i="12"/>
  <c r="O13" i="12"/>
  <c r="Q13" i="12"/>
  <c r="U13" i="12"/>
  <c r="G14" i="12"/>
  <c r="K14" i="12"/>
  <c r="H51" i="1" s="1"/>
  <c r="I15" i="12"/>
  <c r="I14" i="12"/>
  <c r="G51" i="1" s="1"/>
  <c r="E17" i="1" s="1"/>
  <c r="K15" i="12"/>
  <c r="M15" i="12"/>
  <c r="M14" i="12" s="1"/>
  <c r="O15" i="12"/>
  <c r="O14" i="12" s="1"/>
  <c r="Q15" i="12"/>
  <c r="Q14" i="12" s="1"/>
  <c r="U15" i="12"/>
  <c r="U14" i="12" s="1"/>
  <c r="I17" i="12"/>
  <c r="I16" i="12" s="1"/>
  <c r="G52" i="1" s="1"/>
  <c r="K17" i="12"/>
  <c r="M17" i="12"/>
  <c r="O17" i="12"/>
  <c r="O16" i="12" s="1"/>
  <c r="Q17" i="12"/>
  <c r="Q16" i="12" s="1"/>
  <c r="U17" i="12"/>
  <c r="G16" i="12"/>
  <c r="I18" i="12"/>
  <c r="K18" i="12"/>
  <c r="O18" i="12"/>
  <c r="Q18" i="12"/>
  <c r="U18" i="12"/>
  <c r="I19" i="12"/>
  <c r="K19" i="12"/>
  <c r="K16" i="12" s="1"/>
  <c r="H52" i="1" s="1"/>
  <c r="M19" i="12"/>
  <c r="O19" i="12"/>
  <c r="Q19" i="12"/>
  <c r="U19" i="12"/>
  <c r="M20" i="12"/>
  <c r="I20" i="12"/>
  <c r="K20" i="12"/>
  <c r="O20" i="12"/>
  <c r="Q20" i="12"/>
  <c r="U20" i="12"/>
  <c r="U16" i="12" s="1"/>
  <c r="I21" i="12"/>
  <c r="K21" i="12"/>
  <c r="M21" i="12"/>
  <c r="O21" i="12"/>
  <c r="Q21" i="12"/>
  <c r="U21" i="12"/>
  <c r="M22" i="12"/>
  <c r="I22" i="12"/>
  <c r="K22" i="12"/>
  <c r="O22" i="12"/>
  <c r="Q22" i="12"/>
  <c r="U22" i="12"/>
  <c r="I23" i="12"/>
  <c r="K23" i="12"/>
  <c r="M23" i="12"/>
  <c r="O23" i="12"/>
  <c r="Q23" i="12"/>
  <c r="U23" i="12"/>
  <c r="M24" i="12"/>
  <c r="I24" i="12"/>
  <c r="K24" i="12"/>
  <c r="O24" i="12"/>
  <c r="Q24" i="12"/>
  <c r="U24" i="12"/>
  <c r="G25" i="12"/>
  <c r="I26" i="12"/>
  <c r="I25" i="12" s="1"/>
  <c r="G53" i="1" s="1"/>
  <c r="K26" i="12"/>
  <c r="O26" i="12"/>
  <c r="O25" i="12" s="1"/>
  <c r="Q26" i="12"/>
  <c r="U26" i="12"/>
  <c r="U25" i="12" s="1"/>
  <c r="I27" i="12"/>
  <c r="K27" i="12"/>
  <c r="K25" i="12" s="1"/>
  <c r="H53" i="1" s="1"/>
  <c r="M27" i="12"/>
  <c r="O27" i="12"/>
  <c r="Q27" i="12"/>
  <c r="U27" i="12"/>
  <c r="M28" i="12"/>
  <c r="I28" i="12"/>
  <c r="K28" i="12"/>
  <c r="O28" i="12"/>
  <c r="Q28" i="12"/>
  <c r="U28" i="12"/>
  <c r="I29" i="12"/>
  <c r="K29" i="12"/>
  <c r="M29" i="12"/>
  <c r="O29" i="12"/>
  <c r="Q29" i="12"/>
  <c r="Q25" i="12" s="1"/>
  <c r="U29" i="12"/>
  <c r="M30" i="12"/>
  <c r="I30" i="12"/>
  <c r="K30" i="12"/>
  <c r="O30" i="12"/>
  <c r="Q30" i="12"/>
  <c r="U30" i="12"/>
  <c r="I31" i="12"/>
  <c r="K31" i="12"/>
  <c r="M31" i="12"/>
  <c r="O31" i="12"/>
  <c r="Q31" i="12"/>
  <c r="U31" i="12"/>
  <c r="I33" i="12"/>
  <c r="I32" i="12" s="1"/>
  <c r="G54" i="1" s="1"/>
  <c r="K33" i="12"/>
  <c r="K32" i="12" s="1"/>
  <c r="H54" i="1" s="1"/>
  <c r="M33" i="12"/>
  <c r="O33" i="12"/>
  <c r="Q33" i="12"/>
  <c r="U33" i="12"/>
  <c r="U32" i="12" s="1"/>
  <c r="G32" i="12"/>
  <c r="I34" i="12"/>
  <c r="K34" i="12"/>
  <c r="O34" i="12"/>
  <c r="O32" i="12" s="1"/>
  <c r="Q34" i="12"/>
  <c r="Q32" i="12" s="1"/>
  <c r="U34" i="12"/>
  <c r="I35" i="12"/>
  <c r="K35" i="12"/>
  <c r="M35" i="12"/>
  <c r="O35" i="12"/>
  <c r="Q35" i="12"/>
  <c r="U35" i="12"/>
  <c r="M36" i="12"/>
  <c r="I36" i="12"/>
  <c r="K36" i="12"/>
  <c r="O36" i="12"/>
  <c r="Q36" i="12"/>
  <c r="U36" i="12"/>
  <c r="I37" i="12"/>
  <c r="K37" i="12"/>
  <c r="M37" i="12"/>
  <c r="O37" i="12"/>
  <c r="Q37" i="12"/>
  <c r="U37" i="12"/>
  <c r="M38" i="12"/>
  <c r="I38" i="12"/>
  <c r="K38" i="12"/>
  <c r="O38" i="12"/>
  <c r="Q38" i="12"/>
  <c r="U38" i="12"/>
  <c r="I39" i="12"/>
  <c r="K39" i="12"/>
  <c r="M39" i="12"/>
  <c r="O39" i="12"/>
  <c r="Q39" i="12"/>
  <c r="U39" i="12"/>
  <c r="M40" i="12"/>
  <c r="I40" i="12"/>
  <c r="K40" i="12"/>
  <c r="O40" i="12"/>
  <c r="Q40" i="12"/>
  <c r="U40" i="12"/>
  <c r="I41" i="12"/>
  <c r="K41" i="12"/>
  <c r="M41" i="12"/>
  <c r="O41" i="12"/>
  <c r="Q41" i="12"/>
  <c r="U41" i="12"/>
  <c r="M42" i="12"/>
  <c r="I42" i="12"/>
  <c r="K42" i="12"/>
  <c r="O42" i="12"/>
  <c r="Q42" i="12"/>
  <c r="U42" i="12"/>
  <c r="I43" i="12"/>
  <c r="K43" i="12"/>
  <c r="M43" i="12"/>
  <c r="O43" i="12"/>
  <c r="Q43" i="12"/>
  <c r="U43" i="12"/>
  <c r="M44" i="12"/>
  <c r="I44" i="12"/>
  <c r="K44" i="12"/>
  <c r="O44" i="12"/>
  <c r="Q44" i="12"/>
  <c r="U44" i="12"/>
  <c r="G45" i="12"/>
  <c r="I46" i="12"/>
  <c r="I45" i="12" s="1"/>
  <c r="G55" i="1" s="1"/>
  <c r="K46" i="12"/>
  <c r="K45" i="12" s="1"/>
  <c r="H55" i="1" s="1"/>
  <c r="O46" i="12"/>
  <c r="Q46" i="12"/>
  <c r="Q45" i="12" s="1"/>
  <c r="U46" i="12"/>
  <c r="U45" i="12" s="1"/>
  <c r="I47" i="12"/>
  <c r="K47" i="12"/>
  <c r="M47" i="12"/>
  <c r="O47" i="12"/>
  <c r="O45" i="12" s="1"/>
  <c r="Q47" i="12"/>
  <c r="U47" i="12"/>
  <c r="M48" i="12"/>
  <c r="I48" i="12"/>
  <c r="K48" i="12"/>
  <c r="O48" i="12"/>
  <c r="Q48" i="12"/>
  <c r="U48" i="12"/>
  <c r="G49" i="12"/>
  <c r="I50" i="12"/>
  <c r="I49" i="12" s="1"/>
  <c r="G56" i="1" s="1"/>
  <c r="E19" i="1" s="1"/>
  <c r="K50" i="12"/>
  <c r="K49" i="12" s="1"/>
  <c r="H56" i="1" s="1"/>
  <c r="G19" i="1" s="1"/>
  <c r="O50" i="12"/>
  <c r="O49" i="12" s="1"/>
  <c r="Q50" i="12"/>
  <c r="Q49" i="12" s="1"/>
  <c r="U50" i="12"/>
  <c r="U49" i="12"/>
  <c r="I20" i="1"/>
  <c r="G20" i="1"/>
  <c r="E20" i="1"/>
  <c r="I19" i="1"/>
  <c r="I18" i="1"/>
  <c r="G18" i="1"/>
  <c r="E18" i="1"/>
  <c r="I17" i="1"/>
  <c r="I16" i="1"/>
  <c r="I57" i="1"/>
  <c r="AZ43" i="1"/>
  <c r="G27" i="1"/>
  <c r="F40" i="1"/>
  <c r="G40" i="1"/>
  <c r="G26" i="1" s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G57" i="1" l="1"/>
  <c r="E16" i="1"/>
  <c r="E21" i="1" s="1"/>
  <c r="H39" i="1"/>
  <c r="I39" i="1" s="1"/>
  <c r="G17" i="1"/>
  <c r="H57" i="1"/>
  <c r="G16" i="1"/>
  <c r="G28" i="1"/>
  <c r="G23" i="1"/>
  <c r="G24" i="1" s="1"/>
  <c r="M50" i="12"/>
  <c r="M49" i="12" s="1"/>
  <c r="M46" i="12"/>
  <c r="M45" i="12" s="1"/>
  <c r="M34" i="12"/>
  <c r="M32" i="12" s="1"/>
  <c r="M26" i="12"/>
  <c r="M25" i="12" s="1"/>
  <c r="M18" i="12"/>
  <c r="M16" i="12" s="1"/>
  <c r="M12" i="12"/>
  <c r="M10" i="12" s="1"/>
  <c r="I21" i="1"/>
  <c r="G21" i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<sst xmlns="http://schemas.openxmlformats.org/spreadsheetml/2006/main" count="330" uniqueCount="190">
  <si>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</si>
  <si>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</si>
  <si>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</si>
  <si>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Položkový rozpočet</t>
  </si>
  <si>
    <t>Zakázka:</t>
  </si>
  <si>
    <t>Stavební úpravy jídelny a kuchyně budovy ŠJ, Obránců míru 1714, Přelouč</t>
  </si>
  <si>
    <t>Misto</t>
  </si>
  <si>
    <t>Obránců míru č.p. 1714, Přelouč</t>
  </si>
  <si>
    <t>Rozpočet:</t>
  </si>
  <si>
    <t>Objednatel:</t>
  </si>
  <si>
    <t>Město Přelouč</t>
  </si>
  <si>
    <t>IČ:</t>
  </si>
  <si>
    <t>00274101</t>
  </si>
  <si>
    <t>Československé armády 1665</t>
  </si>
  <si>
    <t>DIČ:</t>
  </si>
  <si>
    <t>CZ00274101</t>
  </si>
  <si>
    <t>53501</t>
  </si>
  <si>
    <t>Přelouč</t>
  </si>
  <si>
    <t>Projektant:</t>
  </si>
  <si>
    <t>Zhotovitel:</t>
  </si>
  <si>
    <t>Ing. Radek Čapský - Ing. Radek Čapský</t>
  </si>
  <si>
    <t>69856311</t>
  </si>
  <si>
    <t>Na Okrouhlíku 1246</t>
  </si>
  <si>
    <t>-</t>
  </si>
  <si>
    <t>53003</t>
  </si>
  <si>
    <t>Pardubice</t>
  </si>
  <si>
    <t>Vypracoval:</t>
  </si>
  <si>
    <t>Ing. Radek Čapský</t>
  </si>
  <si>
    <t>Rozpis ceny</t>
  </si>
  <si>
    <t>Dodávka</t>
  </si>
  <si>
    <t>Montáž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</si>
  <si>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</si>
  <si>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</si>
  <si>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</si>
  <si>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</si>
  <si>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</si>
  <si>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</si>
  <si>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</si>
  <si>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</si>
  <si>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</si>
  <si>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</si>
  <si>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</si>
  <si>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</si>
  <si>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</si>
  <si>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</si>
  <si>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</si>
  <si>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</si>
  <si>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</si>
  <si>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</si>
  <si>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</si>
  <si>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Pardubicích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</si>
  <si>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</si>
  <si>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</si>
  <si>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</si>
  <si>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</si>
  <si>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</si>
  <si>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</si>
  <si>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</si>
  <si>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</si>
  <si>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</si>
  <si>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Rozpočet</t>
  </si>
  <si>
    <t>Celkem za stavbu</t>
  </si>
  <si>
    <t xml:space="preserve">Popis rozpočtu:  - </t>
  </si>
  <si>
    <t>D1.4.4 Ústřední vytápění, II. etapa</t>
  </si>
  <si>
    <t>Rekapitulace dílů</t>
  </si>
  <si>
    <t>Typ dílu</t>
  </si>
  <si>
    <t>3</t>
  </si>
  <si>
    <t>Svislé a kompletní konstrukce</t>
  </si>
  <si>
    <t>97</t>
  </si>
  <si>
    <t>Prorážení otvorů</t>
  </si>
  <si>
    <t>722</t>
  </si>
  <si>
    <t>Vnitřní vodovod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</si>
  <si>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</si>
  <si>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</si>
  <si>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</si>
  <si>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</si>
  <si>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</si>
  <si>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</si>
  <si>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</si>
  <si>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</si>
  <si>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 xml:space="preserve">Položkový rozpočet </t>
  </si>
  <si>
    <t>Z:</t>
  </si>
  <si>
    <t>O:</t>
  </si>
  <si>
    <t>R:</t>
  </si>
  <si>
    <t>#TypZaznamu#</t>
  </si>
  <si>
    <t>S: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</si>
  <si>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</si>
  <si>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</si>
  <si>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</si>
  <si>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</si>
  <si>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</si>
  <si>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</si>
  <si>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</si>
  <si>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</si>
  <si>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</si>
  <si>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</si>
  <si>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</si>
  <si>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</si>
  <si>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</si>
  <si>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</si>
  <si>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</si>
  <si>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</si>
  <si>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</si>
  <si>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</si>
  <si>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</si>
  <si>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</si>
  <si>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</si>
  <si>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</si>
  <si>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</si>
  <si>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</si>
  <si>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</si>
  <si>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340235211R00</t>
  </si>
  <si>
    <t>Zazdívka otvorů 0,0225 m2 cihlami, tl.zdi do 10cm</t>
  </si>
  <si>
    <t>kus</t>
  </si>
  <si>
    <t>POL1_0</t>
  </si>
  <si>
    <t>971033131R00</t>
  </si>
  <si>
    <t>Vybourání otvorů zeď cihel. d=6 cm, tl. 15 cm, MVC</t>
  </si>
  <si>
    <t>979011211R00</t>
  </si>
  <si>
    <t>Svislá doprava suti a vybour. hmot za 2.NP nošením</t>
  </si>
  <si>
    <t>t</t>
  </si>
  <si>
    <t>979082111R00</t>
  </si>
  <si>
    <t>Vnitrostaveništní doprava suti do 10 m</t>
  </si>
  <si>
    <t>722181214RT7</t>
  </si>
  <si>
    <t>Izolace návleková z pěněného PE, tl. stěny 20 mm, vnitřní průměr 22 mm</t>
  </si>
  <si>
    <t>m</t>
  </si>
  <si>
    <t>733111102R00</t>
  </si>
  <si>
    <t>Potrubí závitové bezešvé běžné nízkotlaké DN 10</t>
  </si>
  <si>
    <t>733111103R00</t>
  </si>
  <si>
    <t>Potrubí závitové bezešvé běžné nízkotlaké DN 15</t>
  </si>
  <si>
    <t>733111104R00</t>
  </si>
  <si>
    <t>Potrubí závitové bezešvé běžné nízkotlaké DN 20</t>
  </si>
  <si>
    <t>733111105R00</t>
  </si>
  <si>
    <t>Potrubí závitové bezešvé běžné nízkotlaké DN 25</t>
  </si>
  <si>
    <t>733190108R00</t>
  </si>
  <si>
    <t>Tlaková zkouška potrubí  do DN 50</t>
  </si>
  <si>
    <t>998733101R00</t>
  </si>
  <si>
    <t>Přesun hmot pro rozvody potrubí, výšky do 6 m</t>
  </si>
  <si>
    <t>733110806R00</t>
  </si>
  <si>
    <t>Demontáž potrubí ocelového závitového do DN 15-32</t>
  </si>
  <si>
    <t>733890801R00</t>
  </si>
  <si>
    <t>Přemístění vybouraných hmot - potrubí, H do 6 m</t>
  </si>
  <si>
    <t>734209112R00</t>
  </si>
  <si>
    <t>Montáž armatur závitových,se 2závity, G 3/8</t>
  </si>
  <si>
    <t>734209113R00</t>
  </si>
  <si>
    <t>Montáž armatur závitových,se 2závity, G 1/2</t>
  </si>
  <si>
    <t>734291951R00</t>
  </si>
  <si>
    <t>Zpětná montáž hlavic ručního/termostat.ovládání</t>
  </si>
  <si>
    <t>998734101R00</t>
  </si>
  <si>
    <t>Přesun hmot pro armatury, výšky do 6 m</t>
  </si>
  <si>
    <t>734200822R00</t>
  </si>
  <si>
    <t>Demontáž armatur se 2závity do G 1</t>
  </si>
  <si>
    <t>734890801R00</t>
  </si>
  <si>
    <t>Přemístění demontovaných hmot - armatur, H do 6 m</t>
  </si>
  <si>
    <t>735191904R00</t>
  </si>
  <si>
    <t>Propláchnutí otopných těles litinových</t>
  </si>
  <si>
    <t>m2</t>
  </si>
  <si>
    <t>735192911R00</t>
  </si>
  <si>
    <t>Zpětná montáž otop.těles článků litinových</t>
  </si>
  <si>
    <t>735191914R00</t>
  </si>
  <si>
    <t>Montáž otop.těles z použitých litinových článků</t>
  </si>
  <si>
    <t>735191910R00</t>
  </si>
  <si>
    <t>Napuštění vody do otopného systému - bez kotle</t>
  </si>
  <si>
    <t>735191905R00</t>
  </si>
  <si>
    <t>Oprava - odvzdušnění otopných těles</t>
  </si>
  <si>
    <t>735191902R00</t>
  </si>
  <si>
    <t>Vyzkoušení otopných těles litinových tlakem</t>
  </si>
  <si>
    <t>735000912R00</t>
  </si>
  <si>
    <t>Oprava-vyregulování ventilů s termost.ovládáním</t>
  </si>
  <si>
    <t>998735101R00</t>
  </si>
  <si>
    <t>Přesun hmot pro otopná tělesa, výšky do 6 m</t>
  </si>
  <si>
    <t>735494811R00</t>
  </si>
  <si>
    <t>Vypuštění vody z otopných těles</t>
  </si>
  <si>
    <t>735111810R00</t>
  </si>
  <si>
    <t>Demontáž těles otopných litinových článkových</t>
  </si>
  <si>
    <t>735291800R00</t>
  </si>
  <si>
    <t>Demontáž konzol otopných těles do odpadu</t>
  </si>
  <si>
    <t>735890801R00</t>
  </si>
  <si>
    <t>Přemístění demont. hmot - otop. těles, H do 6 m</t>
  </si>
  <si>
    <t>783324140R00</t>
  </si>
  <si>
    <t>Nátěr syntetický litin. radiátorů 2x email, bílý, odstín 1000</t>
  </si>
  <si>
    <t>783424140R00</t>
  </si>
  <si>
    <t>Nátěr syntetický potrubí do DN 50 mm  2x email, bílý, odstín 1000</t>
  </si>
  <si>
    <t>783424740R00</t>
  </si>
  <si>
    <t>Nátěr syntetický potrubí do DN 50 mm základní</t>
  </si>
  <si>
    <t>1</t>
  </si>
  <si>
    <t>Vedlejší rozpočtové náklady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</si>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</sst>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5" x14ac:knownFonts="1">
    <font>
      <sz val="8"/>
      <name val="Trebuchet MS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14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7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9"/>
      <color indexed="81"/>
      <name val="Tahoma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274">
    <xf numFmtId="0" fontId="0" fillId="0" borderId="0" xfId="0"/>
    <xf numFmtId="0" fontId="1" fillId="0" borderId="0" xfId="0" applyFont="1"/>
    <xf numFmtId="0" fontId="0" fillId="0" borderId="0" xfId="0" applyAlignment="1"/>
    <xf numFmtId="0" fontId="0" fillId="0" borderId="1" xfId="0" applyBorder="1"/>
    <xf numFmtId="0" fontId="0" fillId="0" borderId="5" xfId="0" applyBorder="1"/>
    <xf numFmtId="0" fontId="4" fillId="3" borderId="5" xfId="0" applyFont="1" applyFill="1" applyBorder="1" applyAlignment="1">
      <alignment horizontal="left" vertical="center" indent="1"/>
    </xf>
    <xf numFmtId="49" fontId="5" fillId="3" borderId="0" xfId="0" applyNumberFormat="1" applyFont="1" applyFill="1" applyBorder="1" applyAlignment="1">
      <alignment horizontal="left" vertical="center"/>
    </xf>
    <xf numFmtId="14" fontId="2" fillId="0" borderId="0" xfId="0" applyNumberFormat="1" applyFont="1" applyAlignment="1">
      <alignment horizontal="left"/>
    </xf>
    <xf numFmtId="0" fontId="6" fillId="3" borderId="5" xfId="0" applyFont="1" applyFill="1" applyBorder="1" applyAlignment="1">
      <alignment horizontal="left" vertical="center" indent="1"/>
    </xf>
    <xf numFmtId="0" fontId="1" fillId="3" borderId="0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left" vertical="center" indent="1"/>
    </xf>
    <xf numFmtId="0" fontId="6" fillId="3" borderId="10" xfId="0" applyFont="1" applyFill="1" applyBorder="1"/>
    <xf numFmtId="49" fontId="1" fillId="3" borderId="10" xfId="0" applyNumberFormat="1" applyFont="1" applyFill="1" applyBorder="1" applyAlignment="1">
      <alignment horizontal="left" vertical="center"/>
    </xf>
    <xf numFmtId="0" fontId="1" fillId="3" borderId="10" xfId="0" applyFont="1" applyFill="1" applyBorder="1"/>
    <xf numFmtId="0" fontId="1" fillId="3" borderId="10" xfId="0" applyFont="1" applyFill="1" applyBorder="1" applyAlignment="1"/>
    <xf numFmtId="0" fontId="1" fillId="3" borderId="11" xfId="0" applyFont="1" applyFill="1" applyBorder="1" applyAlignment="1"/>
    <xf numFmtId="0" fontId="6" fillId="0" borderId="5" xfId="0" applyFont="1" applyBorder="1" applyAlignment="1">
      <alignment horizontal="left" vertical="center" indent="1"/>
    </xf>
    <xf numFmtId="0" fontId="0" fillId="0" borderId="0" xfId="0" applyBorder="1"/>
    <xf numFmtId="49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0" fillId="0" borderId="8" xfId="0" applyBorder="1" applyAlignment="1"/>
    <xf numFmtId="0" fontId="1" fillId="0" borderId="5" xfId="0" applyFont="1" applyBorder="1" applyAlignment="1">
      <alignment horizontal="left" vertical="center" indent="1"/>
    </xf>
    <xf numFmtId="0" fontId="1" fillId="0" borderId="9" xfId="0" applyFont="1" applyBorder="1" applyAlignment="1">
      <alignment horizontal="left" vertical="center" indent="1"/>
    </xf>
    <xf numFmtId="49" fontId="1" fillId="0" borderId="10" xfId="0" applyNumberFormat="1" applyFont="1" applyBorder="1" applyAlignment="1">
      <alignment horizontal="right" vertical="center"/>
    </xf>
    <xf numFmtId="49" fontId="1" fillId="0" borderId="10" xfId="0" applyNumberFormat="1" applyFont="1" applyBorder="1" applyAlignment="1">
      <alignment horizontal="left" vertical="center"/>
    </xf>
    <xf numFmtId="0" fontId="1" fillId="0" borderId="10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0" fillId="0" borderId="11" xfId="0" applyBorder="1" applyAlignment="1"/>
    <xf numFmtId="0" fontId="1" fillId="0" borderId="0" xfId="0" applyFont="1" applyFill="1" applyBorder="1" applyAlignment="1">
      <alignment horizontal="left" vertical="center"/>
    </xf>
    <xf numFmtId="0" fontId="0" fillId="0" borderId="0" xfId="0" applyBorder="1" applyAlignment="1"/>
    <xf numFmtId="0" fontId="1" fillId="0" borderId="0" xfId="0" applyFont="1" applyBorder="1" applyAlignment="1">
      <alignment horizontal="left" vertical="center"/>
    </xf>
    <xf numFmtId="0" fontId="0" fillId="0" borderId="9" xfId="0" applyBorder="1" applyAlignment="1">
      <alignment horizontal="left" indent="1"/>
    </xf>
    <xf numFmtId="0" fontId="1" fillId="0" borderId="10" xfId="0" applyFont="1" applyBorder="1" applyAlignment="1">
      <alignment horizontal="right" vertical="center"/>
    </xf>
    <xf numFmtId="0" fontId="1" fillId="0" borderId="10" xfId="0" applyFont="1" applyFill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/>
    <xf numFmtId="0" fontId="0" fillId="0" borderId="10" xfId="0" applyBorder="1" applyAlignment="1">
      <alignment horizontal="right"/>
    </xf>
    <xf numFmtId="49" fontId="1" fillId="4" borderId="0" xfId="0" applyNumberFormat="1" applyFont="1" applyFill="1" applyBorder="1" applyAlignment="1" applyProtection="1">
      <alignment horizontal="left" vertical="center"/>
      <protection locked="0"/>
    </xf>
    <xf numFmtId="49" fontId="1" fillId="4" borderId="10" xfId="0" applyNumberFormat="1" applyFont="1" applyFill="1" applyBorder="1" applyAlignment="1" applyProtection="1">
      <alignment horizontal="right" vertical="center"/>
      <protection locked="0"/>
    </xf>
    <xf numFmtId="0" fontId="6" fillId="0" borderId="10" xfId="0" applyFont="1" applyBorder="1" applyAlignment="1">
      <alignment horizontal="right" vertical="center"/>
    </xf>
    <xf numFmtId="0" fontId="6" fillId="0" borderId="12" xfId="0" applyFont="1" applyBorder="1" applyAlignment="1">
      <alignment horizontal="left" vertical="top" indent="1"/>
    </xf>
    <xf numFmtId="0" fontId="0" fillId="0" borderId="6" xfId="0" applyBorder="1" applyAlignment="1">
      <alignment vertical="top"/>
    </xf>
    <xf numFmtId="0" fontId="1" fillId="0" borderId="6" xfId="0" applyFont="1" applyFill="1" applyBorder="1" applyAlignment="1">
      <alignment horizontal="left" vertical="top"/>
    </xf>
    <xf numFmtId="0" fontId="1" fillId="0" borderId="6" xfId="0" applyFont="1" applyBorder="1" applyAlignment="1">
      <alignment vertical="center"/>
    </xf>
    <xf numFmtId="0" fontId="6" fillId="0" borderId="6" xfId="0" applyFont="1" applyBorder="1" applyAlignment="1">
      <alignment horizontal="right" vertical="center"/>
    </xf>
    <xf numFmtId="0" fontId="0" fillId="0" borderId="7" xfId="0" applyBorder="1" applyAlignment="1"/>
    <xf numFmtId="0" fontId="0" fillId="0" borderId="10" xfId="0" applyBorder="1" applyAlignment="1">
      <alignment horizontal="left"/>
    </xf>
    <xf numFmtId="49" fontId="0" fillId="0" borderId="5" xfId="0" applyNumberFormat="1" applyBorder="1"/>
    <xf numFmtId="49" fontId="0" fillId="0" borderId="13" xfId="0" applyNumberFormat="1" applyBorder="1" applyAlignment="1">
      <alignment horizontal="left" vertical="center" indent="1"/>
    </xf>
    <xf numFmtId="0" fontId="0" fillId="0" borderId="14" xfId="0" applyBorder="1" applyAlignment="1">
      <alignment horizontal="left" vertical="center"/>
    </xf>
    <xf numFmtId="0" fontId="0" fillId="0" borderId="14" xfId="0" applyBorder="1"/>
    <xf numFmtId="0" fontId="1" fillId="0" borderId="13" xfId="0" applyFont="1" applyBorder="1" applyAlignment="1">
      <alignment horizontal="left" vertical="center" indent="1"/>
    </xf>
    <xf numFmtId="0" fontId="1" fillId="0" borderId="14" xfId="0" applyFont="1" applyBorder="1" applyAlignment="1">
      <alignment horizontal="left" vertical="center"/>
    </xf>
    <xf numFmtId="0" fontId="1" fillId="0" borderId="14" xfId="0" applyFont="1" applyBorder="1"/>
    <xf numFmtId="0" fontId="0" fillId="0" borderId="13" xfId="0" applyBorder="1" applyAlignment="1">
      <alignment horizontal="left" indent="1"/>
    </xf>
    <xf numFmtId="1" fontId="1" fillId="0" borderId="14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vertical="center" indent="1"/>
    </xf>
    <xf numFmtId="0" fontId="1" fillId="0" borderId="14" xfId="0" applyFont="1" applyBorder="1" applyAlignment="1">
      <alignment vertical="center"/>
    </xf>
    <xf numFmtId="49" fontId="6" fillId="0" borderId="17" xfId="0" applyNumberFormat="1" applyFont="1" applyBorder="1" applyAlignment="1">
      <alignment horizontal="left" vertical="center"/>
    </xf>
    <xf numFmtId="0" fontId="0" fillId="0" borderId="13" xfId="0" applyBorder="1" applyAlignment="1">
      <alignment horizontal="left" vertical="center" indent="1"/>
    </xf>
    <xf numFmtId="1" fontId="1" fillId="0" borderId="15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/>
    </xf>
    <xf numFmtId="0" fontId="0" fillId="0" borderId="10" xfId="0" applyBorder="1"/>
    <xf numFmtId="1" fontId="1" fillId="0" borderId="18" xfId="0" applyNumberFormat="1" applyFont="1" applyBorder="1" applyAlignment="1">
      <alignment horizontal="right" vertical="center"/>
    </xf>
    <xf numFmtId="0" fontId="0" fillId="0" borderId="10" xfId="0" applyBorder="1" applyAlignment="1">
      <alignment horizontal="left" vertical="center" indent="1"/>
    </xf>
    <xf numFmtId="49" fontId="6" fillId="0" borderId="11" xfId="0" applyNumberFormat="1" applyFont="1" applyBorder="1" applyAlignment="1">
      <alignment horizontal="left" vertical="center"/>
    </xf>
    <xf numFmtId="0" fontId="0" fillId="0" borderId="5" xfId="0" applyBorder="1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0" fontId="5" fillId="3" borderId="19" xfId="0" applyFont="1" applyFill="1" applyBorder="1" applyAlignment="1">
      <alignment horizontal="left" vertical="center" indent="1"/>
    </xf>
    <xf numFmtId="0" fontId="1" fillId="3" borderId="20" xfId="0" applyFont="1" applyFill="1" applyBorder="1" applyAlignment="1">
      <alignment horizontal="left" vertical="center"/>
    </xf>
    <xf numFmtId="0" fontId="0" fillId="3" borderId="20" xfId="0" applyFill="1" applyBorder="1" applyAlignment="1">
      <alignment horizontal="left" vertical="center"/>
    </xf>
    <xf numFmtId="4" fontId="5" fillId="3" borderId="20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0" fontId="0" fillId="3" borderId="20" xfId="0" applyFill="1" applyBorder="1"/>
    <xf numFmtId="49" fontId="1" fillId="3" borderId="21" xfId="0" applyNumberFormat="1" applyFont="1" applyFill="1" applyBorder="1" applyAlignment="1">
      <alignment horizontal="left" vertical="center"/>
    </xf>
    <xf numFmtId="0" fontId="0" fillId="0" borderId="8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1" fillId="0" borderId="10" xfId="0" applyFont="1" applyBorder="1" applyAlignment="1">
      <alignment vertical="top"/>
    </xf>
    <xf numFmtId="14" fontId="1" fillId="0" borderId="10" xfId="0" applyNumberFormat="1" applyFont="1" applyBorder="1" applyAlignment="1">
      <alignment horizontal="center" vertical="top"/>
    </xf>
    <xf numFmtId="0" fontId="1" fillId="0" borderId="5" xfId="0" applyFont="1" applyBorder="1"/>
    <xf numFmtId="0" fontId="1" fillId="0" borderId="0" xfId="0" applyFont="1" applyBorder="1"/>
    <xf numFmtId="0" fontId="1" fillId="0" borderId="10" xfId="0" applyFont="1" applyBorder="1"/>
    <xf numFmtId="0" fontId="1" fillId="0" borderId="10" xfId="0" applyFont="1" applyBorder="1" applyAlignment="1"/>
    <xf numFmtId="0" fontId="1" fillId="0" borderId="8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/>
    <xf numFmtId="0" fontId="0" fillId="0" borderId="24" xfId="0" applyBorder="1" applyAlignment="1">
      <alignment horizontal="right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shrinkToFit="1"/>
    </xf>
    <xf numFmtId="3" fontId="0" fillId="0" borderId="25" xfId="0" applyNumberFormat="1" applyBorder="1"/>
    <xf numFmtId="3" fontId="2" fillId="3" borderId="26" xfId="0" applyNumberFormat="1" applyFont="1" applyFill="1" applyBorder="1" applyAlignment="1">
      <alignment vertical="center"/>
    </xf>
    <xf numFmtId="3" fontId="2" fillId="3" borderId="6" xfId="0" applyNumberFormat="1" applyFont="1" applyFill="1" applyBorder="1" applyAlignment="1">
      <alignment vertical="center"/>
    </xf>
    <xf numFmtId="3" fontId="2" fillId="3" borderId="6" xfId="0" applyNumberFormat="1" applyFont="1" applyFill="1" applyBorder="1" applyAlignment="1">
      <alignment vertical="center" wrapText="1"/>
    </xf>
    <xf numFmtId="3" fontId="10" fillId="3" borderId="27" xfId="0" applyNumberFormat="1" applyFont="1" applyFill="1" applyBorder="1" applyAlignment="1">
      <alignment horizontal="center" vertical="center" wrapText="1" shrinkToFit="1"/>
    </xf>
    <xf numFmtId="3" fontId="2" fillId="3" borderId="27" xfId="0" applyNumberFormat="1" applyFont="1" applyFill="1" applyBorder="1" applyAlignment="1">
      <alignment horizontal="center" vertical="center" wrapText="1" shrinkToFit="1"/>
    </xf>
    <xf numFmtId="3" fontId="2" fillId="3" borderId="27" xfId="0" applyNumberFormat="1" applyFont="1" applyFill="1" applyBorder="1" applyAlignment="1">
      <alignment horizontal="center" vertical="center" wrapText="1"/>
    </xf>
    <xf numFmtId="3" fontId="0" fillId="0" borderId="28" xfId="0" applyNumberFormat="1" applyBorder="1" applyAlignment="1"/>
    <xf numFmtId="3" fontId="2" fillId="0" borderId="29" xfId="0" applyNumberFormat="1" applyFont="1" applyBorder="1" applyAlignment="1">
      <alignment horizontal="right" wrapText="1" shrinkToFit="1"/>
    </xf>
    <xf numFmtId="3" fontId="2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0" borderId="29" xfId="0" applyNumberFormat="1" applyBorder="1" applyAlignment="1"/>
    <xf numFmtId="3" fontId="0" fillId="5" borderId="31" xfId="0" applyNumberFormat="1" applyFill="1" applyBorder="1" applyAlignment="1">
      <alignment wrapText="1" shrinkToFit="1"/>
    </xf>
    <xf numFmtId="3" fontId="0" fillId="5" borderId="31" xfId="0" applyNumberFormat="1" applyFill="1" applyBorder="1" applyAlignment="1">
      <alignment shrinkToFit="1"/>
    </xf>
    <xf numFmtId="3" fontId="0" fillId="5" borderId="31" xfId="0" applyNumberFormat="1" applyFill="1" applyBorder="1" applyAlignment="1"/>
    <xf numFmtId="0" fontId="11" fillId="0" borderId="0" xfId="0" applyNumberFormat="1" applyFont="1" applyAlignment="1">
      <alignment wrapText="1"/>
    </xf>
    <xf numFmtId="0" fontId="5" fillId="0" borderId="0" xfId="0" applyFont="1"/>
    <xf numFmtId="0" fontId="12" fillId="0" borderId="25" xfId="0" applyFont="1" applyBorder="1" applyAlignment="1">
      <alignment horizontal="center" vertical="center" wrapText="1"/>
    </xf>
    <xf numFmtId="0" fontId="12" fillId="3" borderId="32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33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vertical="center"/>
    </xf>
    <xf numFmtId="49" fontId="2" fillId="0" borderId="32" xfId="0" applyNumberFormat="1" applyFont="1" applyBorder="1" applyAlignment="1">
      <alignment vertical="center"/>
    </xf>
    <xf numFmtId="4" fontId="2" fillId="0" borderId="33" xfId="0" applyNumberFormat="1" applyFont="1" applyBorder="1" applyAlignment="1">
      <alignment horizontal="center" vertical="center"/>
    </xf>
    <xf numFmtId="4" fontId="2" fillId="0" borderId="33" xfId="0" applyNumberFormat="1" applyFont="1" applyBorder="1" applyAlignment="1">
      <alignment vertical="center"/>
    </xf>
    <xf numFmtId="49" fontId="2" fillId="0" borderId="25" xfId="0" applyNumberFormat="1" applyFont="1" applyBorder="1" applyAlignment="1">
      <alignment vertical="center"/>
    </xf>
    <xf numFmtId="4" fontId="2" fillId="0" borderId="34" xfId="0" applyNumberFormat="1" applyFont="1" applyBorder="1" applyAlignment="1">
      <alignment horizontal="center" vertical="center"/>
    </xf>
    <xf numFmtId="4" fontId="2" fillId="0" borderId="34" xfId="0" applyNumberFormat="1" applyFont="1" applyBorder="1" applyAlignment="1">
      <alignment vertical="center"/>
    </xf>
    <xf numFmtId="49" fontId="2" fillId="0" borderId="18" xfId="0" applyNumberFormat="1" applyFont="1" applyBorder="1" applyAlignment="1">
      <alignment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5" xfId="0" applyNumberFormat="1" applyFont="1" applyBorder="1" applyAlignment="1">
      <alignment vertical="center"/>
    </xf>
    <xf numFmtId="0" fontId="2" fillId="0" borderId="25" xfId="0" applyFont="1" applyBorder="1"/>
    <xf numFmtId="0" fontId="2" fillId="5" borderId="18" xfId="0" applyFont="1" applyFill="1" applyBorder="1"/>
    <xf numFmtId="0" fontId="2" fillId="5" borderId="10" xfId="0" applyFont="1" applyFill="1" applyBorder="1"/>
    <xf numFmtId="4" fontId="2" fillId="5" borderId="35" xfId="0" applyNumberFormat="1" applyFont="1" applyFill="1" applyBorder="1" applyAlignment="1">
      <alignment horizontal="center"/>
    </xf>
    <xf numFmtId="4" fontId="2" fillId="5" borderId="35" xfId="0" applyNumberFormat="1" applyFont="1" applyFill="1" applyBorder="1" applyAlignment="1"/>
    <xf numFmtId="4" fontId="0" fillId="0" borderId="0" xfId="0" applyNumberFormat="1"/>
    <xf numFmtId="4" fontId="0" fillId="0" borderId="0" xfId="0" applyNumberFormat="1" applyAlignmen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36" xfId="0" applyBorder="1" applyAlignment="1">
      <alignment vertical="center"/>
    </xf>
    <xf numFmtId="49" fontId="0" fillId="0" borderId="14" xfId="0" applyNumberFormat="1" applyBorder="1" applyAlignment="1">
      <alignment vertical="center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49" fontId="0" fillId="0" borderId="0" xfId="0" applyNumberFormat="1"/>
    <xf numFmtId="0" fontId="6" fillId="0" borderId="37" xfId="0" applyFont="1" applyBorder="1" applyAlignment="1">
      <alignment vertical="center"/>
    </xf>
    <xf numFmtId="49" fontId="0" fillId="0" borderId="38" xfId="0" applyNumberFormat="1" applyBorder="1" applyAlignment="1">
      <alignment vertical="center"/>
    </xf>
    <xf numFmtId="0" fontId="6" fillId="0" borderId="40" xfId="0" applyFon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3" borderId="43" xfId="0" applyFill="1" applyBorder="1"/>
    <xf numFmtId="49" fontId="0" fillId="3" borderId="44" xfId="0" applyNumberFormat="1" applyFill="1" applyBorder="1" applyAlignment="1"/>
    <xf numFmtId="49" fontId="0" fillId="3" borderId="44" xfId="0" applyNumberFormat="1" applyFill="1" applyBorder="1"/>
    <xf numFmtId="0" fontId="0" fillId="3" borderId="44" xfId="0" applyFill="1" applyBorder="1"/>
    <xf numFmtId="0" fontId="0" fillId="3" borderId="45" xfId="0" applyFill="1" applyBorder="1"/>
    <xf numFmtId="0" fontId="0" fillId="3" borderId="33" xfId="0" applyFill="1" applyBorder="1"/>
    <xf numFmtId="49" fontId="0" fillId="3" borderId="33" xfId="0" applyNumberFormat="1" applyFill="1" applyBorder="1"/>
    <xf numFmtId="0" fontId="0" fillId="3" borderId="32" xfId="0" applyFill="1" applyBorder="1"/>
    <xf numFmtId="0" fontId="0" fillId="3" borderId="46" xfId="0" applyFill="1" applyBorder="1"/>
    <xf numFmtId="0" fontId="0" fillId="3" borderId="47" xfId="0" applyFill="1" applyBorder="1" applyAlignment="1">
      <alignment wrapText="1"/>
    </xf>
    <xf numFmtId="0" fontId="0" fillId="3" borderId="48" xfId="0" applyFill="1" applyBorder="1" applyAlignment="1">
      <alignment wrapText="1"/>
    </xf>
    <xf numFmtId="0" fontId="0" fillId="3" borderId="49" xfId="0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49" fontId="0" fillId="3" borderId="50" xfId="0" applyNumberFormat="1" applyFill="1" applyBorder="1" applyAlignment="1">
      <alignment vertical="top"/>
    </xf>
    <xf numFmtId="0" fontId="0" fillId="3" borderId="51" xfId="0" applyFill="1" applyBorder="1" applyAlignment="1">
      <alignment vertical="top"/>
    </xf>
    <xf numFmtId="164" fontId="0" fillId="3" borderId="50" xfId="0" applyNumberFormat="1" applyFill="1" applyBorder="1" applyAlignment="1">
      <alignment vertical="top"/>
    </xf>
    <xf numFmtId="4" fontId="0" fillId="3" borderId="50" xfId="0" applyNumberFormat="1" applyFill="1" applyBorder="1" applyAlignment="1">
      <alignment vertical="top"/>
    </xf>
    <xf numFmtId="0" fontId="0" fillId="3" borderId="50" xfId="0" applyFill="1" applyBorder="1" applyAlignment="1">
      <alignment vertical="top"/>
    </xf>
    <xf numFmtId="0" fontId="13" fillId="0" borderId="25" xfId="0" applyFont="1" applyBorder="1" applyAlignment="1">
      <alignment vertical="top"/>
    </xf>
    <xf numFmtId="0" fontId="13" fillId="0" borderId="25" xfId="0" applyNumberFormat="1" applyFont="1" applyBorder="1" applyAlignment="1">
      <alignment vertical="top"/>
    </xf>
    <xf numFmtId="0" fontId="13" fillId="0" borderId="34" xfId="0" applyNumberFormat="1" applyFont="1" applyBorder="1" applyAlignment="1">
      <alignment horizontal="left" vertical="top" wrapText="1"/>
    </xf>
    <xf numFmtId="0" fontId="13" fillId="0" borderId="52" xfId="0" applyFont="1" applyBorder="1" applyAlignment="1">
      <alignment vertical="top" shrinkToFit="1"/>
    </xf>
    <xf numFmtId="164" fontId="13" fillId="0" borderId="34" xfId="0" applyNumberFormat="1" applyFont="1" applyBorder="1" applyAlignment="1">
      <alignment vertical="top" shrinkToFit="1"/>
    </xf>
    <xf numFmtId="4" fontId="13" fillId="4" borderId="34" xfId="0" applyNumberFormat="1" applyFont="1" applyFill="1" applyBorder="1" applyAlignment="1" applyProtection="1">
      <alignment vertical="top" shrinkToFit="1"/>
      <protection locked="0"/>
    </xf>
    <xf numFmtId="4" fontId="13" fillId="0" borderId="34" xfId="0" applyNumberFormat="1" applyFont="1" applyBorder="1" applyAlignment="1">
      <alignment vertical="top" shrinkToFit="1"/>
    </xf>
    <xf numFmtId="0" fontId="13" fillId="0" borderId="34" xfId="0" applyFont="1" applyBorder="1" applyAlignment="1">
      <alignment vertical="top" shrinkToFit="1"/>
    </xf>
    <xf numFmtId="0" fontId="13" fillId="0" borderId="25" xfId="0" applyFont="1" applyBorder="1" applyAlignment="1">
      <alignment vertical="top" shrinkToFit="1"/>
    </xf>
    <xf numFmtId="0" fontId="13" fillId="0" borderId="0" xfId="0" applyFont="1"/>
    <xf numFmtId="0" fontId="0" fillId="3" borderId="18" xfId="0" applyFill="1" applyBorder="1" applyAlignment="1">
      <alignment vertical="top"/>
    </xf>
    <xf numFmtId="0" fontId="0" fillId="3" borderId="18" xfId="0" applyNumberFormat="1" applyFill="1" applyBorder="1" applyAlignment="1">
      <alignment vertical="top"/>
    </xf>
    <xf numFmtId="0" fontId="0" fillId="3" borderId="35" xfId="0" applyNumberFormat="1" applyFill="1" applyBorder="1" applyAlignment="1">
      <alignment horizontal="left" vertical="top" wrapText="1"/>
    </xf>
    <xf numFmtId="0" fontId="0" fillId="3" borderId="53" xfId="0" applyFill="1" applyBorder="1" applyAlignment="1">
      <alignment vertical="top" shrinkToFit="1"/>
    </xf>
    <xf numFmtId="164" fontId="0" fillId="3" borderId="35" xfId="0" applyNumberFormat="1" applyFill="1" applyBorder="1" applyAlignment="1">
      <alignment vertical="top" shrinkToFit="1"/>
    </xf>
    <xf numFmtId="4" fontId="0" fillId="3" borderId="35" xfId="0" applyNumberFormat="1" applyFill="1" applyBorder="1" applyAlignment="1">
      <alignment vertical="top" shrinkToFit="1"/>
    </xf>
    <xf numFmtId="0" fontId="0" fillId="3" borderId="35" xfId="0" applyFill="1" applyBorder="1" applyAlignment="1">
      <alignment vertical="top" shrinkToFit="1"/>
    </xf>
    <xf numFmtId="0" fontId="0" fillId="3" borderId="18" xfId="0" applyFill="1" applyBorder="1" applyAlignment="1">
      <alignment vertical="top" shrinkToFit="1"/>
    </xf>
    <xf numFmtId="0" fontId="13" fillId="0" borderId="18" xfId="0" applyFont="1" applyBorder="1" applyAlignment="1">
      <alignment vertical="top"/>
    </xf>
    <xf numFmtId="0" fontId="13" fillId="0" borderId="18" xfId="0" applyNumberFormat="1" applyFont="1" applyBorder="1" applyAlignment="1">
      <alignment vertical="top"/>
    </xf>
    <xf numFmtId="0" fontId="13" fillId="0" borderId="35" xfId="0" applyNumberFormat="1" applyFont="1" applyBorder="1" applyAlignment="1">
      <alignment horizontal="left" vertical="top" wrapText="1"/>
    </xf>
    <xf numFmtId="0" fontId="13" fillId="0" borderId="53" xfId="0" applyFont="1" applyBorder="1" applyAlignment="1">
      <alignment vertical="top" shrinkToFit="1"/>
    </xf>
    <xf numFmtId="164" fontId="13" fillId="0" borderId="35" xfId="0" applyNumberFormat="1" applyFont="1" applyBorder="1" applyAlignment="1">
      <alignment vertical="top" shrinkToFit="1"/>
    </xf>
    <xf numFmtId="4" fontId="13" fillId="4" borderId="35" xfId="0" applyNumberFormat="1" applyFont="1" applyFill="1" applyBorder="1" applyAlignment="1" applyProtection="1">
      <alignment vertical="top" shrinkToFit="1"/>
      <protection locked="0"/>
    </xf>
    <xf numFmtId="4" fontId="13" fillId="0" borderId="35" xfId="0" applyNumberFormat="1" applyFont="1" applyBorder="1" applyAlignment="1">
      <alignment vertical="top" shrinkToFit="1"/>
    </xf>
    <xf numFmtId="0" fontId="13" fillId="0" borderId="35" xfId="0" applyFont="1" applyBorder="1" applyAlignment="1">
      <alignment vertical="top" shrinkToFit="1"/>
    </xf>
    <xf numFmtId="0" fontId="13" fillId="0" borderId="18" xfId="0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1" fillId="3" borderId="15" xfId="0" applyFont="1" applyFill="1" applyBorder="1" applyAlignment="1">
      <alignment vertical="top"/>
    </xf>
    <xf numFmtId="49" fontId="1" fillId="3" borderId="14" xfId="0" applyNumberFormat="1" applyFont="1" applyFill="1" applyBorder="1" applyAlignment="1">
      <alignment vertical="top"/>
    </xf>
    <xf numFmtId="49" fontId="1" fillId="3" borderId="14" xfId="0" applyNumberFormat="1" applyFont="1" applyFill="1" applyBorder="1" applyAlignment="1">
      <alignment horizontal="left" vertical="top" wrapText="1"/>
    </xf>
    <xf numFmtId="0" fontId="1" fillId="3" borderId="14" xfId="0" applyFont="1" applyFill="1" applyBorder="1" applyAlignment="1">
      <alignment vertical="top"/>
    </xf>
    <xf numFmtId="4" fontId="1" fillId="3" borderId="16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0" fillId="0" borderId="6" xfId="0" applyBorder="1" applyAlignment="1">
      <alignment horizontal="center"/>
    </xf>
    <xf numFmtId="3" fontId="0" fillId="0" borderId="14" xfId="0" applyNumberFormat="1" applyBorder="1"/>
    <xf numFmtId="3" fontId="0" fillId="0" borderId="14" xfId="0" applyNumberFormat="1" applyBorder="1" applyAlignment="1">
      <alignment wrapText="1"/>
    </xf>
    <xf numFmtId="3" fontId="0" fillId="5" borderId="28" xfId="0" applyNumberFormat="1" applyFill="1" applyBorder="1"/>
    <xf numFmtId="3" fontId="0" fillId="5" borderId="14" xfId="0" applyNumberFormat="1" applyFill="1" applyBorder="1"/>
    <xf numFmtId="3" fontId="0" fillId="5" borderId="30" xfId="0" applyNumberFormat="1" applyFill="1" applyBorder="1"/>
    <xf numFmtId="0" fontId="0" fillId="0" borderId="0" xfId="0" applyNumberFormat="1" applyAlignment="1">
      <alignment wrapText="1"/>
    </xf>
    <xf numFmtId="0" fontId="12" fillId="3" borderId="33" xfId="0" applyFont="1" applyFill="1" applyBorder="1" applyAlignment="1">
      <alignment horizontal="center" vertical="center" wrapText="1"/>
    </xf>
    <xf numFmtId="49" fontId="2" fillId="0" borderId="32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" fontId="2" fillId="0" borderId="33" xfId="0" applyNumberFormat="1" applyFont="1" applyBorder="1" applyAlignment="1">
      <alignment vertical="center"/>
    </xf>
    <xf numFmtId="49" fontId="2" fillId="0" borderId="25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" fontId="2" fillId="0" borderId="34" xfId="0" applyNumberFormat="1" applyFont="1" applyBorder="1" applyAlignment="1">
      <alignment vertical="center"/>
    </xf>
    <xf numFmtId="4" fontId="2" fillId="0" borderId="35" xfId="0" applyNumberFormat="1" applyFont="1" applyBorder="1" applyAlignment="1">
      <alignment vertical="center"/>
    </xf>
    <xf numFmtId="49" fontId="2" fillId="0" borderId="18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" fontId="2" fillId="5" borderId="35" xfId="0" applyNumberFormat="1" applyFont="1" applyFill="1" applyBorder="1" applyAlignment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5" fillId="3" borderId="6" xfId="0" applyNumberFormat="1" applyFont="1" applyFill="1" applyBorder="1" applyAlignment="1">
      <alignment horizontal="center" vertical="center" shrinkToFit="1"/>
    </xf>
    <xf numFmtId="0" fontId="5" fillId="3" borderId="6" xfId="0" applyFont="1" applyFill="1" applyBorder="1" applyAlignment="1">
      <alignment horizontal="center" vertical="center" shrinkToFit="1"/>
    </xf>
    <xf numFmtId="0" fontId="5" fillId="3" borderId="7" xfId="0" applyFont="1" applyFill="1" applyBorder="1" applyAlignment="1">
      <alignment horizontal="center" vertical="center" shrinkToFit="1"/>
    </xf>
    <xf numFmtId="49" fontId="1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10" xfId="0" applyFont="1" applyBorder="1" applyAlignment="1">
      <alignment horizontal="right" indent="1"/>
    </xf>
    <xf numFmtId="1" fontId="6" fillId="0" borderId="10" xfId="0" applyNumberFormat="1" applyFont="1" applyBorder="1" applyAlignment="1">
      <alignment horizontal="right" indent="1"/>
    </xf>
    <xf numFmtId="4" fontId="7" fillId="0" borderId="15" xfId="0" applyNumberFormat="1" applyFont="1" applyBorder="1" applyAlignment="1">
      <alignment horizontal="right" vertical="center" indent="1"/>
    </xf>
    <xf numFmtId="4" fontId="7" fillId="0" borderId="17" xfId="0" applyNumberFormat="1" applyFont="1" applyBorder="1" applyAlignment="1">
      <alignment horizontal="right" vertical="center" indent="1"/>
    </xf>
    <xf numFmtId="4" fontId="7" fillId="0" borderId="16" xfId="0" applyNumberFormat="1" applyFont="1" applyBorder="1" applyAlignment="1">
      <alignment horizontal="right" vertical="center" indent="1"/>
    </xf>
    <xf numFmtId="4" fontId="8" fillId="0" borderId="15" xfId="0" applyNumberFormat="1" applyFont="1" applyBorder="1" applyAlignment="1">
      <alignment horizontal="right" vertical="center" indent="1"/>
    </xf>
    <xf numFmtId="4" fontId="8" fillId="0" borderId="17" xfId="0" applyNumberFormat="1" applyFont="1" applyBorder="1" applyAlignment="1">
      <alignment horizontal="right" vertical="center" indent="1"/>
    </xf>
    <xf numFmtId="4" fontId="8" fillId="0" borderId="16" xfId="0" applyNumberFormat="1" applyFont="1" applyBorder="1" applyAlignment="1">
      <alignment horizontal="right" vertical="center" indent="1"/>
    </xf>
    <xf numFmtId="4" fontId="8" fillId="0" borderId="15" xfId="0" applyNumberFormat="1" applyFont="1" applyBorder="1" applyAlignment="1">
      <alignment vertical="center"/>
    </xf>
    <xf numFmtId="4" fontId="8" fillId="0" borderId="14" xfId="0" applyNumberFormat="1" applyFont="1" applyBorder="1" applyAlignment="1">
      <alignment vertical="center"/>
    </xf>
    <xf numFmtId="4" fontId="8" fillId="0" borderId="15" xfId="0" applyNumberFormat="1" applyFont="1" applyBorder="1" applyAlignment="1">
      <alignment horizontal="right" vertical="center"/>
    </xf>
    <xf numFmtId="4" fontId="8" fillId="0" borderId="14" xfId="0" applyNumberFormat="1" applyFont="1" applyBorder="1" applyAlignment="1">
      <alignment horizontal="right" vertical="center"/>
    </xf>
    <xf numFmtId="4" fontId="8" fillId="0" borderId="18" xfId="0" applyNumberFormat="1" applyFont="1" applyBorder="1" applyAlignment="1">
      <alignment horizontal="right" vertical="center"/>
    </xf>
    <xf numFmtId="4" fontId="8" fillId="0" borderId="10" xfId="0" applyNumberFormat="1" applyFont="1" applyBorder="1" applyAlignment="1">
      <alignment horizontal="right" vertical="center"/>
    </xf>
    <xf numFmtId="4" fontId="8" fillId="0" borderId="6" xfId="0" applyNumberFormat="1" applyFont="1" applyBorder="1" applyAlignment="1">
      <alignment horizontal="right" vertical="center"/>
    </xf>
    <xf numFmtId="2" fontId="9" fillId="3" borderId="20" xfId="0" applyNumberFormat="1" applyFont="1" applyFill="1" applyBorder="1" applyAlignment="1">
      <alignment horizontal="right" vertical="center"/>
    </xf>
    <xf numFmtId="4" fontId="9" fillId="3" borderId="20" xfId="0" applyNumberFormat="1" applyFont="1" applyFill="1" applyBorder="1" applyAlignment="1">
      <alignment horizontal="right" vertical="center"/>
    </xf>
    <xf numFmtId="0" fontId="6" fillId="0" borderId="11" xfId="0" applyFont="1" applyBorder="1" applyAlignment="1">
      <alignment horizontal="right" indent="1"/>
    </xf>
    <xf numFmtId="49" fontId="1" fillId="4" borderId="0" xfId="0" applyNumberFormat="1" applyFont="1" applyFill="1" applyBorder="1" applyAlignment="1" applyProtection="1">
      <alignment horizontal="left" vertical="center"/>
      <protection locked="0"/>
    </xf>
    <xf numFmtId="49" fontId="1" fillId="4" borderId="10" xfId="0" applyNumberFormat="1" applyFont="1" applyFill="1" applyBorder="1" applyAlignment="1" applyProtection="1">
      <alignment horizontal="left" vertical="center"/>
      <protection locked="0"/>
    </xf>
    <xf numFmtId="49" fontId="1" fillId="3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49" fontId="0" fillId="0" borderId="14" xfId="0" applyNumberFormat="1" applyBorder="1" applyAlignment="1">
      <alignment vertical="center" shrinkToFit="1"/>
    </xf>
    <xf numFmtId="49" fontId="0" fillId="0" borderId="16" xfId="0" applyNumberFormat="1" applyBorder="1" applyAlignment="1">
      <alignment vertical="center" shrinkToFit="1"/>
    </xf>
    <xf numFmtId="0" fontId="5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54" xfId="0" applyFill="1" applyBorder="1" applyAlignment="1" applyProtection="1">
      <alignment vertical="top" wrapText="1"/>
      <protection locked="0"/>
    </xf>
    <xf numFmtId="0" fontId="0" fillId="4" borderId="25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5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horizontal="left" vertical="top" wrapText="1"/>
      <protection locked="0"/>
    </xf>
    <xf numFmtId="0" fontId="0" fillId="4" borderId="53" xfId="0" applyFill="1" applyBorder="1" applyAlignment="1" applyProtection="1">
      <alignment vertical="top" wrapText="1"/>
      <protection locked="0"/>
    </xf>
  </cellXfs>
  <cellStyles count="2">
    <cellStyle name="Normální" xfId="0" builtinId="0" customBuiltin="1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3.5" x14ac:dyDescent="0.3"/>
  <sheetData>
    <row r="1" spans="1:7" ht="14.25" x14ac:dyDescent="0.3">
      <c r="A1" s="1" t="s">
        <v>0</v>
      </c>
    </row>
    <row r="2" spans="1:7" ht="57.75" customHeight="1" x14ac:dyDescent="0.3">
      <c r="A2" s="200" t="s">
        <v>1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9999999999998" bottom="0.78749999999999998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0"/>
  <sheetViews>
    <sheetView showGridLines="0" tabSelected="1" topLeftCell="B1" zoomScaleNormal="100" zoomScaleSheetLayoutView="75" workbookViewId="0">
      <selection activeCell="G26" sqref="G26:I26"/>
    </sheetView>
  </sheetViews>
  <sheetFormatPr defaultColWidth="9.1640625" defaultRowHeight="13.5" x14ac:dyDescent="0.3"/>
  <cols>
    <col min="1" max="1" width="8.5" hidden="1" customWidth="1"/>
    <col min="2" max="2" width="9.33203125" customWidth="1"/>
    <col min="3" max="3" width="7.5" customWidth="1"/>
    <col min="4" max="4" width="13.5" customWidth="1"/>
    <col min="5" max="5" width="12.33203125" customWidth="1"/>
    <col min="6" max="6" width="11.5" customWidth="1"/>
    <col min="7" max="7" width="12.83203125" style="2" customWidth="1"/>
    <col min="8" max="8" width="12.83203125" customWidth="1"/>
    <col min="9" max="9" width="12.83203125" style="2" customWidth="1"/>
    <col min="10" max="10" width="6.83203125" style="2" customWidth="1"/>
    <col min="11" max="11" width="4.33203125" customWidth="1"/>
    <col min="12" max="15" width="10.83203125" customWidth="1"/>
    <col min="52" max="52" width="93.33203125" customWidth="1"/>
  </cols>
  <sheetData>
    <row r="1" spans="1:15" ht="33.75" customHeight="1" x14ac:dyDescent="0.3">
      <c r="A1" s="3" t="s">
        <v>2</v>
      </c>
      <c r="B1" s="219" t="s">
        <v>3</v>
      </c>
      <c r="C1" s="220"/>
      <c r="D1" s="220"/>
      <c r="E1" s="220"/>
      <c r="F1" s="220"/>
      <c r="G1" s="220"/>
      <c r="H1" s="220"/>
      <c r="I1" s="220"/>
      <c r="J1" s="221"/>
    </row>
    <row r="2" spans="1:15" ht="23.25" customHeight="1" x14ac:dyDescent="0.3">
      <c r="A2" s="4"/>
      <c r="B2" s="5" t="s">
        <v>4</v>
      </c>
      <c r="C2" s="6"/>
      <c r="D2" s="222" t="s">
        <v>5</v>
      </c>
      <c r="E2" s="223"/>
      <c r="F2" s="223"/>
      <c r="G2" s="223"/>
      <c r="H2" s="223"/>
      <c r="I2" s="223"/>
      <c r="J2" s="224"/>
      <c r="O2" s="7"/>
    </row>
    <row r="3" spans="1:15" ht="23.25" customHeight="1" x14ac:dyDescent="0.3">
      <c r="A3" s="4"/>
      <c r="B3" s="8" t="s">
        <v>6</v>
      </c>
      <c r="C3" s="9"/>
      <c r="D3" s="246" t="s">
        <v>7</v>
      </c>
      <c r="E3" s="247"/>
      <c r="F3" s="247"/>
      <c r="G3" s="247"/>
      <c r="H3" s="247"/>
      <c r="I3" s="247"/>
      <c r="J3" s="248"/>
    </row>
    <row r="4" spans="1:15" ht="23.25" hidden="1" customHeight="1" x14ac:dyDescent="0.3">
      <c r="A4" s="4"/>
      <c r="B4" s="10" t="s">
        <v>8</v>
      </c>
      <c r="C4" s="11"/>
      <c r="D4" s="12"/>
      <c r="E4" s="12"/>
      <c r="F4" s="13"/>
      <c r="G4" s="14"/>
      <c r="H4" s="13"/>
      <c r="I4" s="14"/>
      <c r="J4" s="15"/>
    </row>
    <row r="5" spans="1:15" ht="24" customHeight="1" x14ac:dyDescent="0.3">
      <c r="A5" s="4"/>
      <c r="B5" s="16" t="s">
        <v>9</v>
      </c>
      <c r="C5" s="17"/>
      <c r="D5" s="18" t="s">
        <v>10</v>
      </c>
      <c r="E5" s="19"/>
      <c r="F5" s="19"/>
      <c r="G5" s="19"/>
      <c r="H5" s="20" t="s">
        <v>11</v>
      </c>
      <c r="I5" s="18" t="s">
        <v>12</v>
      </c>
      <c r="J5" s="21"/>
    </row>
    <row r="6" spans="1:15" ht="15.75" customHeight="1" x14ac:dyDescent="0.3">
      <c r="A6" s="4"/>
      <c r="B6" s="22"/>
      <c r="C6" s="19"/>
      <c r="D6" s="18" t="s">
        <v>13</v>
      </c>
      <c r="E6" s="19"/>
      <c r="F6" s="19"/>
      <c r="G6" s="19"/>
      <c r="H6" s="20" t="s">
        <v>14</v>
      </c>
      <c r="I6" s="18" t="s">
        <v>15</v>
      </c>
      <c r="J6" s="21"/>
    </row>
    <row r="7" spans="1:15" ht="15.75" customHeight="1" x14ac:dyDescent="0.3">
      <c r="A7" s="4"/>
      <c r="B7" s="23"/>
      <c r="C7" s="24" t="s">
        <v>16</v>
      </c>
      <c r="D7" s="25" t="s">
        <v>17</v>
      </c>
      <c r="E7" s="26"/>
      <c r="F7" s="26"/>
      <c r="G7" s="26"/>
      <c r="H7" s="27"/>
      <c r="I7" s="26"/>
      <c r="J7" s="28"/>
    </row>
    <row r="8" spans="1:15" ht="24" hidden="1" customHeight="1" x14ac:dyDescent="0.3">
      <c r="A8" s="4"/>
      <c r="B8" s="16" t="s">
        <v>18</v>
      </c>
      <c r="C8" s="17"/>
      <c r="D8" s="29"/>
      <c r="E8" s="17"/>
      <c r="F8" s="17"/>
      <c r="G8" s="30"/>
      <c r="H8" s="20" t="s">
        <v>11</v>
      </c>
      <c r="I8" s="31"/>
      <c r="J8" s="21"/>
    </row>
    <row r="9" spans="1:15" ht="15.75" hidden="1" customHeight="1" x14ac:dyDescent="0.3">
      <c r="A9" s="4"/>
      <c r="B9" s="4"/>
      <c r="C9" s="17"/>
      <c r="D9" s="29"/>
      <c r="E9" s="17"/>
      <c r="F9" s="17"/>
      <c r="G9" s="30"/>
      <c r="H9" s="20" t="s">
        <v>14</v>
      </c>
      <c r="I9" s="31"/>
      <c r="J9" s="21"/>
    </row>
    <row r="10" spans="1:15" ht="15.75" hidden="1" customHeight="1" x14ac:dyDescent="0.3">
      <c r="A10" s="4"/>
      <c r="B10" s="32"/>
      <c r="C10" s="33"/>
      <c r="D10" s="34"/>
      <c r="E10" s="35"/>
      <c r="F10" s="35"/>
      <c r="G10" s="36"/>
      <c r="H10" s="36"/>
      <c r="I10" s="37"/>
      <c r="J10" s="28"/>
    </row>
    <row r="11" spans="1:15" ht="24" customHeight="1" x14ac:dyDescent="0.3">
      <c r="A11" s="4"/>
      <c r="B11" s="16" t="s">
        <v>19</v>
      </c>
      <c r="C11" s="17"/>
      <c r="D11" s="225" t="s">
        <v>20</v>
      </c>
      <c r="E11" s="225"/>
      <c r="F11" s="225"/>
      <c r="G11" s="225"/>
      <c r="H11" s="20" t="s">
        <v>11</v>
      </c>
      <c r="I11" s="38" t="s">
        <v>21</v>
      </c>
      <c r="J11" s="21"/>
    </row>
    <row r="12" spans="1:15" ht="15.75" customHeight="1" x14ac:dyDescent="0.3">
      <c r="A12" s="4"/>
      <c r="B12" s="22"/>
      <c r="C12" s="19"/>
      <c r="D12" s="244" t="s">
        <v>22</v>
      </c>
      <c r="E12" s="244"/>
      <c r="F12" s="244"/>
      <c r="G12" s="244"/>
      <c r="H12" s="20" t="s">
        <v>14</v>
      </c>
      <c r="I12" s="38" t="s">
        <v>23</v>
      </c>
      <c r="J12" s="21"/>
    </row>
    <row r="13" spans="1:15" ht="15.75" customHeight="1" x14ac:dyDescent="0.3">
      <c r="A13" s="4"/>
      <c r="B13" s="23"/>
      <c r="C13" s="39" t="s">
        <v>24</v>
      </c>
      <c r="D13" s="245" t="s">
        <v>25</v>
      </c>
      <c r="E13" s="245"/>
      <c r="F13" s="245"/>
      <c r="G13" s="245"/>
      <c r="H13" s="40"/>
      <c r="I13" s="26"/>
      <c r="J13" s="28"/>
    </row>
    <row r="14" spans="1:15" ht="24" hidden="1" customHeight="1" x14ac:dyDescent="0.3">
      <c r="A14" s="4"/>
      <c r="B14" s="41" t="s">
        <v>26</v>
      </c>
      <c r="C14" s="42"/>
      <c r="D14" s="43" t="s">
        <v>27</v>
      </c>
      <c r="E14" s="44"/>
      <c r="F14" s="44"/>
      <c r="G14" s="44"/>
      <c r="H14" s="45"/>
      <c r="I14" s="44"/>
      <c r="J14" s="46"/>
    </row>
    <row r="15" spans="1:15" ht="32.25" customHeight="1" x14ac:dyDescent="0.3">
      <c r="A15" s="4"/>
      <c r="B15" s="32" t="s">
        <v>28</v>
      </c>
      <c r="C15" s="47"/>
      <c r="D15" s="36"/>
      <c r="E15" s="227" t="s">
        <v>29</v>
      </c>
      <c r="F15" s="227"/>
      <c r="G15" s="226" t="s">
        <v>30</v>
      </c>
      <c r="H15" s="226"/>
      <c r="I15" s="226" t="s">
        <v>31</v>
      </c>
      <c r="J15" s="243"/>
    </row>
    <row r="16" spans="1:15" ht="23.25" customHeight="1" x14ac:dyDescent="0.3">
      <c r="A16" s="48" t="s">
        <v>32</v>
      </c>
      <c r="B16" s="49" t="s">
        <v>32</v>
      </c>
      <c r="C16" s="50"/>
      <c r="D16" s="51"/>
      <c r="E16" s="228">
        <f>SUMIF(F49:F56,A16,G49:G56)+SUMIF(F49:F56,"PSU",G49:G56)</f>
        <v>9.14</v>
      </c>
      <c r="F16" s="230"/>
      <c r="G16" s="228">
        <f>SUMIF(F49:F56,A16,H49:H56)+SUMIF(F49:F56,"PSU",H49:H56)</f>
        <v>222.51</v>
      </c>
      <c r="H16" s="230"/>
      <c r="I16" s="228">
        <f>SUMIF(F49:F56,A16,I49:I56)+SUMIF(F49:F56,"PSU",I49:I56)</f>
        <v>0</v>
      </c>
      <c r="J16" s="229"/>
    </row>
    <row r="17" spans="1:10" ht="23.25" customHeight="1" x14ac:dyDescent="0.3">
      <c r="A17" s="48" t="s">
        <v>33</v>
      </c>
      <c r="B17" s="49" t="s">
        <v>33</v>
      </c>
      <c r="C17" s="50"/>
      <c r="D17" s="51"/>
      <c r="E17" s="228">
        <f>SUMIF(F49:F56,A17,G49:G56)</f>
        <v>12963.079999999998</v>
      </c>
      <c r="F17" s="230"/>
      <c r="G17" s="228">
        <f>SUMIF(F49:F56,A17,H49:H56)</f>
        <v>115562.81999999999</v>
      </c>
      <c r="H17" s="230"/>
      <c r="I17" s="228">
        <f>SUMIF(F49:F56,A17,I49:I56)</f>
        <v>0</v>
      </c>
      <c r="J17" s="229"/>
    </row>
    <row r="18" spans="1:10" ht="23.25" customHeight="1" x14ac:dyDescent="0.3">
      <c r="A18" s="48" t="s">
        <v>34</v>
      </c>
      <c r="B18" s="49" t="s">
        <v>34</v>
      </c>
      <c r="C18" s="50"/>
      <c r="D18" s="51"/>
      <c r="E18" s="228">
        <f>SUMIF(F49:F56,A18,G49:G56)</f>
        <v>0</v>
      </c>
      <c r="F18" s="230"/>
      <c r="G18" s="228">
        <f>SUMIF(F49:F56,A18,H49:H56)</f>
        <v>0</v>
      </c>
      <c r="H18" s="230"/>
      <c r="I18" s="228">
        <f>SUMIF(F49:F56,A18,I49:I56)</f>
        <v>0</v>
      </c>
      <c r="J18" s="229"/>
    </row>
    <row r="19" spans="1:10" ht="23.25" customHeight="1" x14ac:dyDescent="0.3">
      <c r="A19" s="48" t="s">
        <v>35</v>
      </c>
      <c r="B19" s="49" t="s">
        <v>36</v>
      </c>
      <c r="C19" s="50"/>
      <c r="D19" s="51"/>
      <c r="E19" s="228">
        <f>SUMIF(F49:F56,A19,G49:G56)</f>
        <v>0</v>
      </c>
      <c r="F19" s="230"/>
      <c r="G19" s="228">
        <f>SUMIF(F49:F56,A19,H49:H56)</f>
        <v>5688.11</v>
      </c>
      <c r="H19" s="230"/>
      <c r="I19" s="228">
        <f>SUMIF(F49:F56,A19,I49:I56)</f>
        <v>0</v>
      </c>
      <c r="J19" s="229"/>
    </row>
    <row r="20" spans="1:10" ht="23.25" customHeight="1" x14ac:dyDescent="0.3">
      <c r="A20" s="48" t="s">
        <v>37</v>
      </c>
      <c r="B20" s="49" t="s">
        <v>38</v>
      </c>
      <c r="C20" s="50"/>
      <c r="D20" s="51"/>
      <c r="E20" s="228">
        <f>SUMIF(F49:F56,A20,G49:G56)</f>
        <v>0</v>
      </c>
      <c r="F20" s="230"/>
      <c r="G20" s="228">
        <f>SUMIF(F49:F56,A20,H49:H56)</f>
        <v>0</v>
      </c>
      <c r="H20" s="230"/>
      <c r="I20" s="228">
        <f>SUMIF(F49:F56,A20,I49:I56)</f>
        <v>0</v>
      </c>
      <c r="J20" s="229"/>
    </row>
    <row r="21" spans="1:10" ht="23.25" customHeight="1" x14ac:dyDescent="0.3">
      <c r="A21" s="4"/>
      <c r="B21" s="52" t="s">
        <v>31</v>
      </c>
      <c r="C21" s="53"/>
      <c r="D21" s="54"/>
      <c r="E21" s="231">
        <f>SUM(E16:F20)</f>
        <v>12972.219999999998</v>
      </c>
      <c r="F21" s="233"/>
      <c r="G21" s="231">
        <f>SUM(G16:H20)</f>
        <v>121473.43999999999</v>
      </c>
      <c r="H21" s="233"/>
      <c r="I21" s="231">
        <f>SUM(I16:J20)</f>
        <v>0</v>
      </c>
      <c r="J21" s="232"/>
    </row>
    <row r="22" spans="1:10" ht="33" customHeight="1" x14ac:dyDescent="0.3">
      <c r="A22" s="4"/>
      <c r="B22" s="55" t="s">
        <v>39</v>
      </c>
      <c r="C22" s="50"/>
      <c r="D22" s="51"/>
      <c r="E22" s="56"/>
      <c r="F22" s="57"/>
      <c r="G22" s="58"/>
      <c r="H22" s="58"/>
      <c r="I22" s="58"/>
      <c r="J22" s="59"/>
    </row>
    <row r="23" spans="1:10" ht="23.25" customHeight="1" x14ac:dyDescent="0.3">
      <c r="A23" s="4"/>
      <c r="B23" s="60" t="s">
        <v>40</v>
      </c>
      <c r="C23" s="50"/>
      <c r="D23" s="51"/>
      <c r="E23" s="61">
        <v>15</v>
      </c>
      <c r="F23" s="57" t="s">
        <v>41</v>
      </c>
      <c r="G23" s="234">
        <f>ZakladDPHSniVypocet</f>
        <v>0</v>
      </c>
      <c r="H23" s="235"/>
      <c r="I23" s="235"/>
      <c r="J23" s="59" t="str">
        <f t="shared" ref="J23:J28" si="0">Mena</f>
        <v>CZK</v>
      </c>
    </row>
    <row r="24" spans="1:10" ht="23.25" customHeight="1" x14ac:dyDescent="0.3">
      <c r="A24" s="4"/>
      <c r="B24" s="60" t="s">
        <v>42</v>
      </c>
      <c r="C24" s="50"/>
      <c r="D24" s="51"/>
      <c r="E24" s="61">
        <f>SazbaDPH1</f>
        <v>15</v>
      </c>
      <c r="F24" s="57" t="s">
        <v>41</v>
      </c>
      <c r="G24" s="236">
        <f>ZakladDPHSni*SazbaDPH1/100</f>
        <v>0</v>
      </c>
      <c r="H24" s="237"/>
      <c r="I24" s="237"/>
      <c r="J24" s="59" t="str">
        <f t="shared" si="0"/>
        <v>CZK</v>
      </c>
    </row>
    <row r="25" spans="1:10" ht="23.25" customHeight="1" x14ac:dyDescent="0.3">
      <c r="A25" s="4"/>
      <c r="B25" s="60" t="s">
        <v>43</v>
      </c>
      <c r="C25" s="50"/>
      <c r="D25" s="51"/>
      <c r="E25" s="61">
        <v>21</v>
      </c>
      <c r="F25" s="57" t="s">
        <v>41</v>
      </c>
      <c r="G25" s="234">
        <v>134447.51999999999</v>
      </c>
      <c r="H25" s="235"/>
      <c r="I25" s="235"/>
      <c r="J25" s="59" t="str">
        <f t="shared" si="0"/>
        <v>CZK</v>
      </c>
    </row>
    <row r="26" spans="1:10" ht="23.25" customHeight="1" x14ac:dyDescent="0.3">
      <c r="A26" s="4"/>
      <c r="B26" s="62" t="s">
        <v>44</v>
      </c>
      <c r="C26" s="63"/>
      <c r="D26" s="64"/>
      <c r="E26" s="65">
        <f>SazbaDPH2</f>
        <v>21</v>
      </c>
      <c r="F26" s="66" t="s">
        <v>41</v>
      </c>
      <c r="G26" s="238">
        <f>ZakladDPHZakl*SazbaDPH2/100</f>
        <v>28233.979199999998</v>
      </c>
      <c r="H26" s="239"/>
      <c r="I26" s="239"/>
      <c r="J26" s="67" t="str">
        <f t="shared" si="0"/>
        <v>CZK</v>
      </c>
    </row>
    <row r="27" spans="1:10" ht="23.25" customHeight="1" thickBot="1" x14ac:dyDescent="0.35">
      <c r="A27" s="4"/>
      <c r="B27" s="68" t="s">
        <v>45</v>
      </c>
      <c r="C27" s="69"/>
      <c r="D27" s="70"/>
      <c r="E27" s="69"/>
      <c r="F27" s="71"/>
      <c r="G27" s="240">
        <f>0</f>
        <v>0</v>
      </c>
      <c r="H27" s="240"/>
      <c r="I27" s="240"/>
      <c r="J27" s="72" t="str">
        <f t="shared" si="0"/>
        <v>CZK</v>
      </c>
    </row>
    <row r="28" spans="1:10" ht="27.75" hidden="1" customHeight="1" thickBot="1" x14ac:dyDescent="0.35">
      <c r="A28" s="4"/>
      <c r="B28" s="73" t="s">
        <v>46</v>
      </c>
      <c r="C28" s="74"/>
      <c r="D28" s="74"/>
      <c r="E28" s="75"/>
      <c r="F28" s="76"/>
      <c r="G28" s="241">
        <f>ZakladDPHSniVypocet+ZakladDPHZaklVypocet</f>
        <v>0</v>
      </c>
      <c r="H28" s="241"/>
      <c r="I28" s="241"/>
      <c r="J28" s="77" t="str">
        <f t="shared" si="0"/>
        <v>CZK</v>
      </c>
    </row>
    <row r="29" spans="1:10" ht="27.75" customHeight="1" thickBot="1" x14ac:dyDescent="0.35">
      <c r="A29" s="4"/>
      <c r="B29" s="73" t="s">
        <v>47</v>
      </c>
      <c r="C29" s="78"/>
      <c r="D29" s="78"/>
      <c r="E29" s="78"/>
      <c r="F29" s="78"/>
      <c r="G29" s="242">
        <f>ZakladDPHSni+DPHSni+ZakladDPHZakl+DPHZakl+Zaokrouhleni</f>
        <v>162681.49919999999</v>
      </c>
      <c r="H29" s="242"/>
      <c r="I29" s="242"/>
      <c r="J29" s="79" t="s">
        <v>48</v>
      </c>
    </row>
    <row r="30" spans="1:10" ht="12.75" customHeight="1" x14ac:dyDescent="0.3">
      <c r="A30" s="4"/>
      <c r="B30" s="4"/>
      <c r="C30" s="17"/>
      <c r="D30" s="17"/>
      <c r="E30" s="17"/>
      <c r="F30" s="17"/>
      <c r="G30" s="30"/>
      <c r="H30" s="17"/>
      <c r="I30" s="30"/>
      <c r="J30" s="80"/>
    </row>
    <row r="31" spans="1:10" ht="30" customHeight="1" x14ac:dyDescent="0.3">
      <c r="A31" s="4"/>
      <c r="B31" s="4"/>
      <c r="C31" s="17"/>
      <c r="D31" s="17"/>
      <c r="E31" s="17"/>
      <c r="F31" s="17"/>
      <c r="G31" s="30"/>
      <c r="H31" s="17"/>
      <c r="I31" s="30"/>
      <c r="J31" s="80"/>
    </row>
    <row r="32" spans="1:10" ht="18.75" customHeight="1" x14ac:dyDescent="0.3">
      <c r="A32" s="4"/>
      <c r="B32" s="81"/>
      <c r="C32" s="82" t="s">
        <v>49</v>
      </c>
      <c r="D32" s="83" t="s">
        <v>50</v>
      </c>
      <c r="E32" s="83"/>
      <c r="F32" s="82" t="s">
        <v>51</v>
      </c>
      <c r="G32" s="83"/>
      <c r="H32" s="84">
        <f ca="1">TODAY()</f>
        <v>44287</v>
      </c>
      <c r="I32" s="83"/>
      <c r="J32" s="80"/>
    </row>
    <row r="33" spans="1:52" ht="47.25" customHeight="1" x14ac:dyDescent="0.3">
      <c r="A33" s="4"/>
      <c r="B33" s="4"/>
      <c r="C33" s="17"/>
      <c r="D33" s="17"/>
      <c r="E33" s="17"/>
      <c r="F33" s="17"/>
      <c r="G33" s="30"/>
      <c r="H33" s="17"/>
      <c r="I33" s="30"/>
      <c r="J33" s="80"/>
    </row>
    <row r="34" spans="1:52" s="1" customFormat="1" ht="18.75" customHeight="1" x14ac:dyDescent="0.2">
      <c r="A34" s="85"/>
      <c r="B34" s="85"/>
      <c r="C34" s="86"/>
      <c r="D34" s="87"/>
      <c r="E34" s="87"/>
      <c r="F34" s="86"/>
      <c r="G34" s="88"/>
      <c r="H34" s="87"/>
      <c r="I34" s="88"/>
      <c r="J34" s="89"/>
    </row>
    <row r="35" spans="1:52" ht="12.75" customHeight="1" x14ac:dyDescent="0.3">
      <c r="A35" s="4"/>
      <c r="B35" s="4"/>
      <c r="C35" s="17"/>
      <c r="D35" s="201" t="s">
        <v>52</v>
      </c>
      <c r="E35" s="201"/>
      <c r="F35" s="17"/>
      <c r="G35" s="30"/>
      <c r="H35" s="90" t="s">
        <v>53</v>
      </c>
      <c r="I35" s="30"/>
      <c r="J35" s="80"/>
    </row>
    <row r="36" spans="1:52" ht="13.5" customHeight="1" thickBot="1" x14ac:dyDescent="0.35">
      <c r="A36" s="91"/>
      <c r="B36" s="91"/>
      <c r="C36" s="92"/>
      <c r="D36" s="92"/>
      <c r="E36" s="92"/>
      <c r="F36" s="92"/>
      <c r="G36" s="93"/>
      <c r="H36" s="92"/>
      <c r="I36" s="93"/>
      <c r="J36" s="94"/>
    </row>
    <row r="37" spans="1:52" ht="27" hidden="1" customHeight="1" x14ac:dyDescent="0.3">
      <c r="B37" s="95" t="s">
        <v>54</v>
      </c>
      <c r="C37" s="96"/>
      <c r="D37" s="96"/>
      <c r="E37" s="96"/>
      <c r="F37" s="97"/>
      <c r="G37" s="97"/>
      <c r="H37" s="97"/>
      <c r="I37" s="97"/>
      <c r="J37" s="96"/>
    </row>
    <row r="38" spans="1:52" ht="25.5" hidden="1" customHeight="1" x14ac:dyDescent="0.3">
      <c r="A38" s="98" t="s">
        <v>55</v>
      </c>
      <c r="B38" s="99" t="s">
        <v>56</v>
      </c>
      <c r="C38" s="100" t="s">
        <v>57</v>
      </c>
      <c r="D38" s="101"/>
      <c r="E38" s="101"/>
      <c r="F38" s="102" t="str">
        <f>B23</f>
        <v>Základ pro sníženou DPH</v>
      </c>
      <c r="G38" s="102" t="str">
        <f>B25</f>
        <v>Základ pro základní DPH</v>
      </c>
      <c r="H38" s="103" t="s">
        <v>58</v>
      </c>
      <c r="I38" s="103" t="s">
        <v>59</v>
      </c>
      <c r="J38" s="104" t="s">
        <v>41</v>
      </c>
    </row>
    <row r="39" spans="1:52" ht="25.5" hidden="1" customHeight="1" x14ac:dyDescent="0.3">
      <c r="A39" s="98">
        <v>0</v>
      </c>
      <c r="B39" s="105" t="s">
        <v>60</v>
      </c>
      <c r="C39" s="202" t="s">
        <v>5</v>
      </c>
      <c r="D39" s="203"/>
      <c r="E39" s="203"/>
      <c r="F39" s="106">
        <f>'Rozpočet Pol'!AC52</f>
        <v>0</v>
      </c>
      <c r="G39" s="107">
        <f>'Rozpočet Pol'!AD52</f>
        <v>134447.51999999999</v>
      </c>
      <c r="H39" s="108">
        <f>(F39*SazbaDPH1/100)+(G39*SazbaDPH2/100)</f>
        <v>28233.979199999998</v>
      </c>
      <c r="I39" s="108">
        <f>F39+G39+H39</f>
        <v>162681.49919999999</v>
      </c>
      <c r="J39" s="109" t="str">
        <f>IF(CenaCelkemVypocet=0,"",I39/CenaCelkemVypocet*100)</f>
        <v/>
      </c>
    </row>
    <row r="40" spans="1:52" ht="25.5" hidden="1" customHeight="1" x14ac:dyDescent="0.3">
      <c r="A40" s="98"/>
      <c r="B40" s="204" t="s">
        <v>61</v>
      </c>
      <c r="C40" s="205"/>
      <c r="D40" s="205"/>
      <c r="E40" s="206"/>
      <c r="F40" s="110">
        <f>SUMIF(A39,"=1",F39)</f>
        <v>0</v>
      </c>
      <c r="G40" s="111">
        <f>SUMIF(A39,"=1",G39)</f>
        <v>0</v>
      </c>
      <c r="H40" s="111">
        <f>SUMIF(A39,"=1",H39)</f>
        <v>0</v>
      </c>
      <c r="I40" s="111">
        <f>SUMIF(A39,"=1",I39)</f>
        <v>0</v>
      </c>
      <c r="J40" s="112">
        <f>SUMIF(A39,"=1",J39)</f>
        <v>0</v>
      </c>
    </row>
    <row r="42" spans="1:52" x14ac:dyDescent="0.3">
      <c r="B42" t="s">
        <v>62</v>
      </c>
    </row>
    <row r="43" spans="1:52" ht="14.25" x14ac:dyDescent="0.3">
      <c r="B43" s="207" t="s">
        <v>63</v>
      </c>
      <c r="C43" s="207"/>
      <c r="D43" s="207"/>
      <c r="E43" s="207"/>
      <c r="F43" s="207"/>
      <c r="G43" s="207"/>
      <c r="H43" s="207"/>
      <c r="I43" s="207"/>
      <c r="J43" s="207"/>
      <c r="AZ43" s="113" t="str">
        <f>B43</f>
        <v>D1.4.4 Ústřední vytápění, II. etapa</v>
      </c>
    </row>
    <row r="46" spans="1:52" ht="16.5" x14ac:dyDescent="0.3">
      <c r="B46" s="114" t="s">
        <v>64</v>
      </c>
    </row>
    <row r="48" spans="1:52" ht="25.5" customHeight="1" x14ac:dyDescent="0.3">
      <c r="A48" s="115"/>
      <c r="B48" s="116" t="s">
        <v>56</v>
      </c>
      <c r="C48" s="116" t="s">
        <v>57</v>
      </c>
      <c r="D48" s="117"/>
      <c r="E48" s="117"/>
      <c r="F48" s="118" t="s">
        <v>65</v>
      </c>
      <c r="G48" s="118" t="s">
        <v>29</v>
      </c>
      <c r="H48" s="118" t="s">
        <v>30</v>
      </c>
      <c r="I48" s="208" t="s">
        <v>31</v>
      </c>
      <c r="J48" s="208"/>
    </row>
    <row r="49" spans="1:10" ht="25.5" customHeight="1" x14ac:dyDescent="0.3">
      <c r="A49" s="119"/>
      <c r="B49" s="120" t="s">
        <v>66</v>
      </c>
      <c r="C49" s="209" t="s">
        <v>67</v>
      </c>
      <c r="D49" s="210"/>
      <c r="E49" s="210"/>
      <c r="F49" s="121" t="s">
        <v>32</v>
      </c>
      <c r="G49" s="122">
        <f>'Rozpočet Pol'!I8</f>
        <v>9.14</v>
      </c>
      <c r="H49" s="122">
        <f>'Rozpočet Pol'!K8</f>
        <v>174.92</v>
      </c>
      <c r="I49" s="211"/>
      <c r="J49" s="211"/>
    </row>
    <row r="50" spans="1:10" ht="25.5" customHeight="1" x14ac:dyDescent="0.3">
      <c r="A50" s="119"/>
      <c r="B50" s="123" t="s">
        <v>68</v>
      </c>
      <c r="C50" s="212" t="s">
        <v>69</v>
      </c>
      <c r="D50" s="213"/>
      <c r="E50" s="213"/>
      <c r="F50" s="124" t="s">
        <v>32</v>
      </c>
      <c r="G50" s="125">
        <f>'Rozpočet Pol'!I10</f>
        <v>0</v>
      </c>
      <c r="H50" s="125">
        <f>'Rozpočet Pol'!K10</f>
        <v>47.59</v>
      </c>
      <c r="I50" s="214"/>
      <c r="J50" s="214"/>
    </row>
    <row r="51" spans="1:10" ht="25.5" customHeight="1" x14ac:dyDescent="0.3">
      <c r="A51" s="119"/>
      <c r="B51" s="123" t="s">
        <v>70</v>
      </c>
      <c r="C51" s="212" t="s">
        <v>71</v>
      </c>
      <c r="D51" s="213"/>
      <c r="E51" s="213"/>
      <c r="F51" s="124" t="s">
        <v>33</v>
      </c>
      <c r="G51" s="125">
        <f>'Rozpočet Pol'!I14</f>
        <v>0</v>
      </c>
      <c r="H51" s="125">
        <f>'Rozpočet Pol'!K14</f>
        <v>77.36</v>
      </c>
      <c r="I51" s="214"/>
      <c r="J51" s="214"/>
    </row>
    <row r="52" spans="1:10" ht="25.5" customHeight="1" x14ac:dyDescent="0.3">
      <c r="A52" s="119"/>
      <c r="B52" s="123" t="s">
        <v>72</v>
      </c>
      <c r="C52" s="212" t="s">
        <v>73</v>
      </c>
      <c r="D52" s="213"/>
      <c r="E52" s="213"/>
      <c r="F52" s="124" t="s">
        <v>33</v>
      </c>
      <c r="G52" s="125">
        <f>'Rozpočet Pol'!I16</f>
        <v>4560.71</v>
      </c>
      <c r="H52" s="125">
        <f>'Rozpočet Pol'!K16</f>
        <v>9083.76</v>
      </c>
      <c r="I52" s="214"/>
      <c r="J52" s="214"/>
    </row>
    <row r="53" spans="1:10" ht="25.5" customHeight="1" x14ac:dyDescent="0.3">
      <c r="A53" s="119"/>
      <c r="B53" s="123" t="s">
        <v>74</v>
      </c>
      <c r="C53" s="212" t="s">
        <v>75</v>
      </c>
      <c r="D53" s="213"/>
      <c r="E53" s="213"/>
      <c r="F53" s="124" t="s">
        <v>33</v>
      </c>
      <c r="G53" s="125">
        <f>'Rozpočet Pol'!I25</f>
        <v>1039.27</v>
      </c>
      <c r="H53" s="125">
        <f>'Rozpočet Pol'!K25</f>
        <v>6034.6599999999989</v>
      </c>
      <c r="I53" s="214"/>
      <c r="J53" s="214"/>
    </row>
    <row r="54" spans="1:10" ht="25.5" customHeight="1" x14ac:dyDescent="0.3">
      <c r="A54" s="119"/>
      <c r="B54" s="123" t="s">
        <v>76</v>
      </c>
      <c r="C54" s="212" t="s">
        <v>77</v>
      </c>
      <c r="D54" s="213"/>
      <c r="E54" s="213"/>
      <c r="F54" s="124" t="s">
        <v>33</v>
      </c>
      <c r="G54" s="125">
        <f>'Rozpočet Pol'!I32</f>
        <v>7363.0999999999995</v>
      </c>
      <c r="H54" s="125">
        <f>'Rozpočet Pol'!K32</f>
        <v>25833.789999999997</v>
      </c>
      <c r="I54" s="214"/>
      <c r="J54" s="214"/>
    </row>
    <row r="55" spans="1:10" ht="25.5" customHeight="1" x14ac:dyDescent="0.3">
      <c r="A55" s="119"/>
      <c r="B55" s="123" t="s">
        <v>78</v>
      </c>
      <c r="C55" s="212" t="s">
        <v>79</v>
      </c>
      <c r="D55" s="213"/>
      <c r="E55" s="213"/>
      <c r="F55" s="124" t="s">
        <v>33</v>
      </c>
      <c r="G55" s="125">
        <f>'Rozpočet Pol'!I45</f>
        <v>0</v>
      </c>
      <c r="H55" s="125">
        <f>'Rozpočet Pol'!K45</f>
        <v>74533.25</v>
      </c>
      <c r="I55" s="214"/>
      <c r="J55" s="214"/>
    </row>
    <row r="56" spans="1:10" ht="25.5" customHeight="1" x14ac:dyDescent="0.3">
      <c r="A56" s="119"/>
      <c r="B56" s="126" t="s">
        <v>35</v>
      </c>
      <c r="C56" s="216" t="s">
        <v>36</v>
      </c>
      <c r="D56" s="217"/>
      <c r="E56" s="217"/>
      <c r="F56" s="127" t="s">
        <v>35</v>
      </c>
      <c r="G56" s="128">
        <f>'Rozpočet Pol'!I49</f>
        <v>0</v>
      </c>
      <c r="H56" s="128">
        <f>'Rozpočet Pol'!K49</f>
        <v>5688.11</v>
      </c>
      <c r="I56" s="215"/>
      <c r="J56" s="215"/>
    </row>
    <row r="57" spans="1:10" ht="25.5" customHeight="1" x14ac:dyDescent="0.3">
      <c r="A57" s="129"/>
      <c r="B57" s="130" t="s">
        <v>59</v>
      </c>
      <c r="C57" s="130"/>
      <c r="D57" s="131"/>
      <c r="E57" s="131"/>
      <c r="F57" s="132"/>
      <c r="G57" s="133">
        <f>SUM(G49:G56)</f>
        <v>12972.220000000001</v>
      </c>
      <c r="H57" s="133">
        <f>SUM(H49:H56)</f>
        <v>121473.44</v>
      </c>
      <c r="I57" s="218">
        <f>SUM(I49:I56)</f>
        <v>0</v>
      </c>
      <c r="J57" s="218"/>
    </row>
    <row r="58" spans="1:10" x14ac:dyDescent="0.3">
      <c r="F58" s="134"/>
      <c r="G58" s="135"/>
      <c r="H58" s="134"/>
      <c r="I58" s="135"/>
      <c r="J58" s="135"/>
    </row>
    <row r="59" spans="1:10" x14ac:dyDescent="0.3">
      <c r="F59" s="134"/>
      <c r="G59" s="135"/>
      <c r="H59" s="134"/>
      <c r="I59" s="135"/>
      <c r="J59" s="135"/>
    </row>
    <row r="60" spans="1:10" x14ac:dyDescent="0.3">
      <c r="F60" s="134"/>
      <c r="G60" s="135"/>
      <c r="H60" s="134"/>
      <c r="I60" s="135"/>
      <c r="J60" s="135"/>
    </row>
  </sheetData>
  <mergeCells count="56">
    <mergeCell ref="G28:I28"/>
    <mergeCell ref="G29:I29"/>
    <mergeCell ref="I15:J15"/>
    <mergeCell ref="E16:F16"/>
    <mergeCell ref="D12:G12"/>
    <mergeCell ref="D13:G13"/>
    <mergeCell ref="G23:I23"/>
    <mergeCell ref="G24:I24"/>
    <mergeCell ref="G25:I25"/>
    <mergeCell ref="G26:I26"/>
    <mergeCell ref="G27:I27"/>
    <mergeCell ref="E20:F20"/>
    <mergeCell ref="I20:J20"/>
    <mergeCell ref="G20:H20"/>
    <mergeCell ref="I21:J21"/>
    <mergeCell ref="E21:F21"/>
    <mergeCell ref="G21:H21"/>
    <mergeCell ref="I18:J18"/>
    <mergeCell ref="G18:H18"/>
    <mergeCell ref="E18:F18"/>
    <mergeCell ref="I19:J19"/>
    <mergeCell ref="E19:F19"/>
    <mergeCell ref="G19:H19"/>
    <mergeCell ref="I16:J16"/>
    <mergeCell ref="G16:H16"/>
    <mergeCell ref="I17:J17"/>
    <mergeCell ref="G17:H17"/>
    <mergeCell ref="E17:F17"/>
    <mergeCell ref="B1:J1"/>
    <mergeCell ref="D2:J2"/>
    <mergeCell ref="D11:G11"/>
    <mergeCell ref="G15:H15"/>
    <mergeCell ref="E15:F15"/>
    <mergeCell ref="D3:J3"/>
    <mergeCell ref="I55:J55"/>
    <mergeCell ref="C55:E55"/>
    <mergeCell ref="I56:J56"/>
    <mergeCell ref="C56:E56"/>
    <mergeCell ref="I57:J57"/>
    <mergeCell ref="I52:J52"/>
    <mergeCell ref="C52:E52"/>
    <mergeCell ref="C53:E53"/>
    <mergeCell ref="I53:J53"/>
    <mergeCell ref="C54:E54"/>
    <mergeCell ref="I54:J54"/>
    <mergeCell ref="C49:E49"/>
    <mergeCell ref="I49:J49"/>
    <mergeCell ref="C50:E50"/>
    <mergeCell ref="I50:J50"/>
    <mergeCell ref="C51:E51"/>
    <mergeCell ref="I51:J51"/>
    <mergeCell ref="D35:E35"/>
    <mergeCell ref="C39:E39"/>
    <mergeCell ref="B40:E40"/>
    <mergeCell ref="B43:J43"/>
    <mergeCell ref="I48:J48"/>
  </mergeCells>
  <pageMargins left="0.39374999999999999" right="0.1965278" top="0.59027779999999996" bottom="0.39374999999999999" header="0" footer="0.1965278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3.5" x14ac:dyDescent="0.3"/>
  <cols>
    <col min="1" max="1" width="4.33203125" style="136" customWidth="1"/>
    <col min="2" max="2" width="14.5" style="136" customWidth="1"/>
    <col min="3" max="3" width="38.33203125" style="137" customWidth="1"/>
    <col min="4" max="4" width="4.6640625" style="136" customWidth="1"/>
    <col min="5" max="5" width="10.6640625" style="136" customWidth="1"/>
    <col min="6" max="6" width="10" style="136" customWidth="1"/>
    <col min="7" max="7" width="12.83203125" style="136" customWidth="1"/>
    <col min="8" max="16384" width="9.33203125" style="136"/>
  </cols>
  <sheetData>
    <row r="1" spans="1:7" ht="15.75" x14ac:dyDescent="0.3">
      <c r="A1" s="249" t="s">
        <v>80</v>
      </c>
      <c r="B1" s="249"/>
      <c r="C1" s="250"/>
      <c r="D1" s="249"/>
      <c r="E1" s="249"/>
      <c r="F1" s="249"/>
      <c r="G1" s="249"/>
    </row>
    <row r="2" spans="1:7" ht="24.95" customHeight="1" x14ac:dyDescent="0.3">
      <c r="A2" s="138" t="s">
        <v>81</v>
      </c>
      <c r="B2" s="139"/>
      <c r="C2" s="251"/>
      <c r="D2" s="251"/>
      <c r="E2" s="251"/>
      <c r="F2" s="251"/>
      <c r="G2" s="252"/>
    </row>
    <row r="3" spans="1:7" ht="24.95" hidden="1" customHeight="1" x14ac:dyDescent="0.3">
      <c r="A3" s="138" t="s">
        <v>82</v>
      </c>
      <c r="B3" s="139"/>
      <c r="C3" s="251"/>
      <c r="D3" s="251"/>
      <c r="E3" s="251"/>
      <c r="F3" s="251"/>
      <c r="G3" s="252"/>
    </row>
    <row r="4" spans="1:7" ht="24.95" hidden="1" customHeight="1" x14ac:dyDescent="0.3">
      <c r="A4" s="138" t="s">
        <v>83</v>
      </c>
      <c r="B4" s="139"/>
      <c r="C4" s="251"/>
      <c r="D4" s="251"/>
      <c r="E4" s="251"/>
      <c r="F4" s="251"/>
      <c r="G4" s="252"/>
    </row>
    <row r="5" spans="1:7" hidden="1" x14ac:dyDescent="0.3">
      <c r="B5" s="140"/>
      <c r="C5" s="141"/>
      <c r="D5" s="142"/>
    </row>
  </sheetData>
  <mergeCells count="4">
    <mergeCell ref="A1:G1"/>
    <mergeCell ref="C2:G2"/>
    <mergeCell ref="C3:G3"/>
    <mergeCell ref="C4:G4"/>
  </mergeCells>
  <pageMargins left="0.59027779999999996" right="0.39374999999999999" top="0.59027779999999996" bottom="0.98402780000000001" header="0.1965278" footer="0.51180550000000002"/>
  <pageSetup paperSize="9" orientation="portrait" r:id="rId1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62"/>
  <sheetViews>
    <sheetView topLeftCell="A36" workbookViewId="0">
      <selection sqref="A1:G1"/>
    </sheetView>
  </sheetViews>
  <sheetFormatPr defaultRowHeight="13.5" outlineLevelRow="1" x14ac:dyDescent="0.3"/>
  <cols>
    <col min="1" max="1" width="4.33203125" customWidth="1"/>
    <col min="2" max="2" width="14.5" style="143" customWidth="1"/>
    <col min="3" max="3" width="38.33203125" style="143" customWidth="1"/>
    <col min="4" max="4" width="4.6640625" customWidth="1"/>
    <col min="5" max="5" width="10.6640625" customWidth="1"/>
    <col min="6" max="6" width="10" customWidth="1"/>
    <col min="7" max="7" width="12.83203125" customWidth="1"/>
    <col min="12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3">
      <c r="A1" s="253" t="s">
        <v>80</v>
      </c>
      <c r="B1" s="253"/>
      <c r="C1" s="253"/>
      <c r="D1" s="253"/>
      <c r="E1" s="253"/>
      <c r="F1" s="253"/>
      <c r="G1" s="253"/>
      <c r="AE1" t="s">
        <v>84</v>
      </c>
    </row>
    <row r="2" spans="1:60" ht="24.95" customHeight="1" x14ac:dyDescent="0.3">
      <c r="A2" s="144" t="s">
        <v>85</v>
      </c>
      <c r="B2" s="145"/>
      <c r="C2" s="254" t="s">
        <v>5</v>
      </c>
      <c r="D2" s="255"/>
      <c r="E2" s="255"/>
      <c r="F2" s="255"/>
      <c r="G2" s="256"/>
      <c r="AE2" t="s">
        <v>86</v>
      </c>
    </row>
    <row r="3" spans="1:60" ht="24.95" customHeight="1" x14ac:dyDescent="0.3">
      <c r="A3" s="146" t="s">
        <v>82</v>
      </c>
      <c r="B3" s="147"/>
      <c r="C3" s="257" t="s">
        <v>7</v>
      </c>
      <c r="D3" s="258"/>
      <c r="E3" s="258"/>
      <c r="F3" s="258"/>
      <c r="G3" s="259"/>
      <c r="AE3" t="s">
        <v>87</v>
      </c>
    </row>
    <row r="4" spans="1:60" ht="24.95" hidden="1" customHeight="1" x14ac:dyDescent="0.3">
      <c r="A4" s="146" t="s">
        <v>83</v>
      </c>
      <c r="B4" s="147"/>
      <c r="C4" s="257"/>
      <c r="D4" s="258"/>
      <c r="E4" s="258"/>
      <c r="F4" s="258"/>
      <c r="G4" s="259"/>
      <c r="AE4" t="s">
        <v>88</v>
      </c>
    </row>
    <row r="5" spans="1:60" hidden="1" x14ac:dyDescent="0.3">
      <c r="A5" s="148" t="s">
        <v>89</v>
      </c>
      <c r="B5" s="149"/>
      <c r="C5" s="150"/>
      <c r="D5" s="151"/>
      <c r="E5" s="151"/>
      <c r="F5" s="151"/>
      <c r="G5" s="152"/>
      <c r="AE5" t="s">
        <v>90</v>
      </c>
    </row>
    <row r="7" spans="1:60" ht="40.5" x14ac:dyDescent="0.3">
      <c r="A7" s="153" t="s">
        <v>91</v>
      </c>
      <c r="B7" s="154" t="s">
        <v>92</v>
      </c>
      <c r="C7" s="154" t="s">
        <v>93</v>
      </c>
      <c r="D7" s="153" t="s">
        <v>94</v>
      </c>
      <c r="E7" s="153" t="s">
        <v>95</v>
      </c>
      <c r="F7" s="155" t="s">
        <v>96</v>
      </c>
      <c r="G7" s="156" t="s">
        <v>31</v>
      </c>
      <c r="H7" s="157" t="s">
        <v>29</v>
      </c>
      <c r="I7" s="157" t="s">
        <v>97</v>
      </c>
      <c r="J7" s="157" t="s">
        <v>30</v>
      </c>
      <c r="K7" s="157" t="s">
        <v>98</v>
      </c>
      <c r="L7" s="157" t="s">
        <v>99</v>
      </c>
      <c r="M7" s="157" t="s">
        <v>100</v>
      </c>
      <c r="N7" s="157" t="s">
        <v>101</v>
      </c>
      <c r="O7" s="157" t="s">
        <v>102</v>
      </c>
      <c r="P7" s="157" t="s">
        <v>103</v>
      </c>
      <c r="Q7" s="157" t="s">
        <v>104</v>
      </c>
      <c r="R7" s="157" t="s">
        <v>105</v>
      </c>
      <c r="S7" s="157" t="s">
        <v>106</v>
      </c>
      <c r="T7" s="157" t="s">
        <v>107</v>
      </c>
      <c r="U7" s="158" t="s">
        <v>108</v>
      </c>
    </row>
    <row r="8" spans="1:60" x14ac:dyDescent="0.3">
      <c r="A8" s="159" t="s">
        <v>109</v>
      </c>
      <c r="B8" s="160" t="s">
        <v>66</v>
      </c>
      <c r="C8" s="161" t="s">
        <v>67</v>
      </c>
      <c r="D8" s="162"/>
      <c r="E8" s="163"/>
      <c r="F8" s="164"/>
      <c r="G8" s="164">
        <f>SUMIF(AE9,"&lt;&gt;NOR",G9)</f>
        <v>184.06</v>
      </c>
      <c r="H8" s="164"/>
      <c r="I8" s="164">
        <f>SUM(I9)</f>
        <v>9.14</v>
      </c>
      <c r="J8" s="164"/>
      <c r="K8" s="164">
        <f>SUM(K9)</f>
        <v>174.92</v>
      </c>
      <c r="L8" s="164"/>
      <c r="M8" s="164">
        <f>SUM(M9)</f>
        <v>222.71260000000001</v>
      </c>
      <c r="N8" s="165"/>
      <c r="O8" s="165">
        <f>SUM(O9)</f>
        <v>6.8399999999999997E-3</v>
      </c>
      <c r="P8" s="165"/>
      <c r="Q8" s="165">
        <f>SUM(Q9)</f>
        <v>0</v>
      </c>
      <c r="R8" s="165"/>
      <c r="S8" s="165"/>
      <c r="T8" s="159"/>
      <c r="U8" s="165">
        <f>SUM(U9)</f>
        <v>0.36</v>
      </c>
      <c r="AE8" t="s">
        <v>110</v>
      </c>
    </row>
    <row r="9" spans="1:60" ht="22.5" outlineLevel="1" x14ac:dyDescent="0.3">
      <c r="A9" s="166">
        <v>1</v>
      </c>
      <c r="B9" s="167" t="s">
        <v>111</v>
      </c>
      <c r="C9" s="168" t="s">
        <v>112</v>
      </c>
      <c r="D9" s="169" t="s">
        <v>113</v>
      </c>
      <c r="E9" s="170">
        <v>2</v>
      </c>
      <c r="F9" s="171">
        <v>92.03</v>
      </c>
      <c r="G9" s="172">
        <v>184.06</v>
      </c>
      <c r="H9" s="171">
        <v>4.57</v>
      </c>
      <c r="I9" s="172">
        <f>ROUND(E9*H9,2)</f>
        <v>9.14</v>
      </c>
      <c r="J9" s="171">
        <v>87.46</v>
      </c>
      <c r="K9" s="172">
        <f>ROUND(E9*J9,2)</f>
        <v>174.92</v>
      </c>
      <c r="L9" s="172">
        <v>21</v>
      </c>
      <c r="M9" s="172">
        <f>G9*(1+L9/100)</f>
        <v>222.71260000000001</v>
      </c>
      <c r="N9" s="173">
        <v>3.4199999999999999E-3</v>
      </c>
      <c r="O9" s="173">
        <f>ROUND(E9*N9,5)</f>
        <v>6.8399999999999997E-3</v>
      </c>
      <c r="P9" s="173">
        <v>0</v>
      </c>
      <c r="Q9" s="173">
        <f>ROUND(E9*P9,5)</f>
        <v>0</v>
      </c>
      <c r="R9" s="173"/>
      <c r="S9" s="173"/>
      <c r="T9" s="174">
        <v>0.18099999999999999</v>
      </c>
      <c r="U9" s="173">
        <f>ROUND(E9*T9,2)</f>
        <v>0.36</v>
      </c>
      <c r="V9" s="175"/>
      <c r="W9" s="175"/>
      <c r="X9" s="175"/>
      <c r="Y9" s="175"/>
      <c r="Z9" s="175"/>
      <c r="AA9" s="175"/>
      <c r="AB9" s="175"/>
      <c r="AC9" s="175"/>
      <c r="AD9" s="175"/>
      <c r="AE9" s="175" t="s">
        <v>114</v>
      </c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  <c r="AW9" s="175"/>
      <c r="AX9" s="175"/>
      <c r="AY9" s="175"/>
      <c r="AZ9" s="175"/>
      <c r="BA9" s="175"/>
      <c r="BB9" s="175"/>
      <c r="BC9" s="175"/>
      <c r="BD9" s="175"/>
      <c r="BE9" s="175"/>
      <c r="BF9" s="175"/>
      <c r="BG9" s="175"/>
      <c r="BH9" s="175"/>
    </row>
    <row r="10" spans="1:60" x14ac:dyDescent="0.3">
      <c r="A10" s="176" t="s">
        <v>109</v>
      </c>
      <c r="B10" s="177" t="s">
        <v>68</v>
      </c>
      <c r="C10" s="178" t="s">
        <v>69</v>
      </c>
      <c r="D10" s="179"/>
      <c r="E10" s="180"/>
      <c r="F10" s="181"/>
      <c r="G10" s="181">
        <f>SUMIF(AE11:AE13,"&lt;&gt;NOR",G11:G13)</f>
        <v>49.949999999999996</v>
      </c>
      <c r="H10" s="181"/>
      <c r="I10" s="181">
        <f>SUM(I11:I13)</f>
        <v>0</v>
      </c>
      <c r="J10" s="181"/>
      <c r="K10" s="181">
        <f>SUM(K11:K13)</f>
        <v>47.59</v>
      </c>
      <c r="L10" s="181"/>
      <c r="M10" s="181">
        <f>SUM(M11:M13)</f>
        <v>60.439500000000002</v>
      </c>
      <c r="N10" s="182"/>
      <c r="O10" s="182">
        <f>SUM(O11:O13)</f>
        <v>0</v>
      </c>
      <c r="P10" s="182"/>
      <c r="Q10" s="182">
        <f>SUM(Q11:Q13)</f>
        <v>2E-3</v>
      </c>
      <c r="R10" s="182"/>
      <c r="S10" s="182"/>
      <c r="T10" s="183"/>
      <c r="U10" s="182">
        <f>SUM(U11:U13)</f>
        <v>0.13</v>
      </c>
      <c r="AE10" t="s">
        <v>110</v>
      </c>
    </row>
    <row r="11" spans="1:60" ht="22.5" outlineLevel="1" x14ac:dyDescent="0.3">
      <c r="A11" s="166">
        <v>2</v>
      </c>
      <c r="B11" s="167" t="s">
        <v>115</v>
      </c>
      <c r="C11" s="168" t="s">
        <v>116</v>
      </c>
      <c r="D11" s="169" t="s">
        <v>113</v>
      </c>
      <c r="E11" s="170">
        <v>2</v>
      </c>
      <c r="F11" s="171">
        <v>23.78</v>
      </c>
      <c r="G11" s="172">
        <v>47.56</v>
      </c>
      <c r="H11" s="171">
        <v>0</v>
      </c>
      <c r="I11" s="172">
        <f>ROUND(E11*H11,2)</f>
        <v>0</v>
      </c>
      <c r="J11" s="171">
        <v>23.78</v>
      </c>
      <c r="K11" s="172">
        <f>ROUND(E11*J11,2)</f>
        <v>47.56</v>
      </c>
      <c r="L11" s="172">
        <v>21</v>
      </c>
      <c r="M11" s="172">
        <f>G11*(1+L11/100)</f>
        <v>57.547600000000003</v>
      </c>
      <c r="N11" s="173">
        <v>0</v>
      </c>
      <c r="O11" s="173">
        <f>ROUND(E11*N11,5)</f>
        <v>0</v>
      </c>
      <c r="P11" s="173">
        <v>1E-3</v>
      </c>
      <c r="Q11" s="173">
        <f>ROUND(E11*P11,5)</f>
        <v>2E-3</v>
      </c>
      <c r="R11" s="173"/>
      <c r="S11" s="173"/>
      <c r="T11" s="174">
        <v>6.4000000000000001E-2</v>
      </c>
      <c r="U11" s="173">
        <f>ROUND(E11*T11,2)</f>
        <v>0.13</v>
      </c>
      <c r="V11" s="175"/>
      <c r="W11" s="175"/>
      <c r="X11" s="175"/>
      <c r="Y11" s="175"/>
      <c r="Z11" s="175"/>
      <c r="AA11" s="175"/>
      <c r="AB11" s="175"/>
      <c r="AC11" s="175"/>
      <c r="AD11" s="175"/>
      <c r="AE11" s="175" t="s">
        <v>114</v>
      </c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  <c r="AP11" s="175"/>
      <c r="AQ11" s="175"/>
      <c r="AR11" s="175"/>
      <c r="AS11" s="175"/>
      <c r="AT11" s="175"/>
      <c r="AU11" s="175"/>
      <c r="AV11" s="175"/>
      <c r="AW11" s="175"/>
      <c r="AX11" s="175"/>
      <c r="AY11" s="175"/>
      <c r="AZ11" s="175"/>
      <c r="BA11" s="175"/>
      <c r="BB11" s="175"/>
      <c r="BC11" s="175"/>
      <c r="BD11" s="175"/>
      <c r="BE11" s="175"/>
      <c r="BF11" s="175"/>
      <c r="BG11" s="175"/>
      <c r="BH11" s="175"/>
    </row>
    <row r="12" spans="1:60" ht="22.5" outlineLevel="1" x14ac:dyDescent="0.3">
      <c r="A12" s="166">
        <v>3</v>
      </c>
      <c r="B12" s="167" t="s">
        <v>117</v>
      </c>
      <c r="C12" s="168" t="s">
        <v>118</v>
      </c>
      <c r="D12" s="169" t="s">
        <v>119</v>
      </c>
      <c r="E12" s="170">
        <v>2.0000000000000002E-5</v>
      </c>
      <c r="F12" s="171">
        <v>366.31</v>
      </c>
      <c r="G12" s="172">
        <v>0.73</v>
      </c>
      <c r="H12" s="171">
        <v>0</v>
      </c>
      <c r="I12" s="172">
        <f>ROUND(E12*H12,2)</f>
        <v>0</v>
      </c>
      <c r="J12" s="171">
        <v>366.31</v>
      </c>
      <c r="K12" s="172">
        <f>ROUND(E12*J12,2)</f>
        <v>0.01</v>
      </c>
      <c r="L12" s="172">
        <v>21</v>
      </c>
      <c r="M12" s="172">
        <f>G12*(1+L12/100)</f>
        <v>0.88329999999999997</v>
      </c>
      <c r="N12" s="173">
        <v>0</v>
      </c>
      <c r="O12" s="173">
        <f>ROUND(E12*N12,5)</f>
        <v>0</v>
      </c>
      <c r="P12" s="173">
        <v>0</v>
      </c>
      <c r="Q12" s="173">
        <f>ROUND(E12*P12,5)</f>
        <v>0</v>
      </c>
      <c r="R12" s="173"/>
      <c r="S12" s="173"/>
      <c r="T12" s="174">
        <v>2.0089999999999999</v>
      </c>
      <c r="U12" s="173">
        <f>ROUND(E12*T12,2)</f>
        <v>0</v>
      </c>
      <c r="V12" s="175"/>
      <c r="W12" s="175"/>
      <c r="X12" s="175"/>
      <c r="Y12" s="175"/>
      <c r="Z12" s="175"/>
      <c r="AA12" s="175"/>
      <c r="AB12" s="175"/>
      <c r="AC12" s="175"/>
      <c r="AD12" s="175"/>
      <c r="AE12" s="175" t="s">
        <v>114</v>
      </c>
      <c r="AF12" s="175"/>
      <c r="AG12" s="175"/>
      <c r="AH12" s="175"/>
      <c r="AI12" s="175"/>
      <c r="AJ12" s="175"/>
      <c r="AK12" s="175"/>
      <c r="AL12" s="175"/>
      <c r="AM12" s="175"/>
      <c r="AN12" s="175"/>
      <c r="AO12" s="175"/>
      <c r="AP12" s="175"/>
      <c r="AQ12" s="175"/>
      <c r="AR12" s="175"/>
      <c r="AS12" s="175"/>
      <c r="AT12" s="175"/>
      <c r="AU12" s="175"/>
      <c r="AV12" s="175"/>
      <c r="AW12" s="175"/>
      <c r="AX12" s="175"/>
      <c r="AY12" s="175"/>
      <c r="AZ12" s="175"/>
      <c r="BA12" s="175"/>
      <c r="BB12" s="175"/>
      <c r="BC12" s="175"/>
      <c r="BD12" s="175"/>
      <c r="BE12" s="175"/>
      <c r="BF12" s="175"/>
      <c r="BG12" s="175"/>
      <c r="BH12" s="175"/>
    </row>
    <row r="13" spans="1:60" outlineLevel="1" x14ac:dyDescent="0.3">
      <c r="A13" s="166">
        <v>4</v>
      </c>
      <c r="B13" s="167" t="s">
        <v>120</v>
      </c>
      <c r="C13" s="168" t="s">
        <v>121</v>
      </c>
      <c r="D13" s="169" t="s">
        <v>119</v>
      </c>
      <c r="E13" s="170">
        <v>2.0000000000000002E-5</v>
      </c>
      <c r="F13" s="171">
        <v>828.17</v>
      </c>
      <c r="G13" s="172">
        <v>1.66</v>
      </c>
      <c r="H13" s="171">
        <v>0</v>
      </c>
      <c r="I13" s="172">
        <f>ROUND(E13*H13,2)</f>
        <v>0</v>
      </c>
      <c r="J13" s="171">
        <v>828.17</v>
      </c>
      <c r="K13" s="172">
        <f>ROUND(E13*J13,2)</f>
        <v>0.02</v>
      </c>
      <c r="L13" s="172">
        <v>21</v>
      </c>
      <c r="M13" s="172">
        <f>G13*(1+L13/100)</f>
        <v>2.0085999999999999</v>
      </c>
      <c r="N13" s="173">
        <v>0</v>
      </c>
      <c r="O13" s="173">
        <f>ROUND(E13*N13,5)</f>
        <v>0</v>
      </c>
      <c r="P13" s="173">
        <v>0</v>
      </c>
      <c r="Q13" s="173">
        <f>ROUND(E13*P13,5)</f>
        <v>0</v>
      </c>
      <c r="R13" s="173"/>
      <c r="S13" s="173"/>
      <c r="T13" s="174">
        <v>0.94199999999999995</v>
      </c>
      <c r="U13" s="173">
        <f>ROUND(E13*T13,2)</f>
        <v>0</v>
      </c>
      <c r="V13" s="175"/>
      <c r="W13" s="175"/>
      <c r="X13" s="175"/>
      <c r="Y13" s="175"/>
      <c r="Z13" s="175"/>
      <c r="AA13" s="175"/>
      <c r="AB13" s="175"/>
      <c r="AC13" s="175"/>
      <c r="AD13" s="175"/>
      <c r="AE13" s="175" t="s">
        <v>114</v>
      </c>
      <c r="AF13" s="175"/>
      <c r="AG13" s="175"/>
      <c r="AH13" s="175"/>
      <c r="AI13" s="175"/>
      <c r="AJ13" s="175"/>
      <c r="AK13" s="175"/>
      <c r="AL13" s="175"/>
      <c r="AM13" s="175"/>
      <c r="AN13" s="175"/>
      <c r="AO13" s="175"/>
      <c r="AP13" s="175"/>
      <c r="AQ13" s="175"/>
      <c r="AR13" s="175"/>
      <c r="AS13" s="175"/>
      <c r="AT13" s="175"/>
      <c r="AU13" s="175"/>
      <c r="AV13" s="175"/>
      <c r="AW13" s="175"/>
      <c r="AX13" s="175"/>
      <c r="AY13" s="175"/>
      <c r="AZ13" s="175"/>
      <c r="BA13" s="175"/>
      <c r="BB13" s="175"/>
      <c r="BC13" s="175"/>
      <c r="BD13" s="175"/>
      <c r="BE13" s="175"/>
      <c r="BF13" s="175"/>
      <c r="BG13" s="175"/>
      <c r="BH13" s="175"/>
    </row>
    <row r="14" spans="1:60" x14ac:dyDescent="0.3">
      <c r="A14" s="176" t="s">
        <v>109</v>
      </c>
      <c r="B14" s="177" t="s">
        <v>70</v>
      </c>
      <c r="C14" s="178" t="s">
        <v>71</v>
      </c>
      <c r="D14" s="179"/>
      <c r="E14" s="180"/>
      <c r="F14" s="181"/>
      <c r="G14" s="181">
        <f>SUMIF(AE15,"&lt;&gt;NOR",G15)</f>
        <v>77.36</v>
      </c>
      <c r="H14" s="181"/>
      <c r="I14" s="181">
        <f>SUM(I15)</f>
        <v>0</v>
      </c>
      <c r="J14" s="181"/>
      <c r="K14" s="181">
        <f>SUM(K15)</f>
        <v>77.36</v>
      </c>
      <c r="L14" s="181"/>
      <c r="M14" s="181">
        <f>SUM(M15)</f>
        <v>93.605599999999995</v>
      </c>
      <c r="N14" s="182"/>
      <c r="O14" s="182">
        <f>SUM(O15)</f>
        <v>5.0000000000000002E-5</v>
      </c>
      <c r="P14" s="182"/>
      <c r="Q14" s="182">
        <f>SUM(Q15)</f>
        <v>0</v>
      </c>
      <c r="R14" s="182"/>
      <c r="S14" s="182"/>
      <c r="T14" s="183"/>
      <c r="U14" s="182">
        <f>SUM(U15)</f>
        <v>0.13</v>
      </c>
      <c r="AE14" t="s">
        <v>110</v>
      </c>
    </row>
    <row r="15" spans="1:60" ht="22.5" outlineLevel="1" x14ac:dyDescent="0.3">
      <c r="A15" s="166">
        <v>5</v>
      </c>
      <c r="B15" s="167" t="s">
        <v>122</v>
      </c>
      <c r="C15" s="168" t="s">
        <v>123</v>
      </c>
      <c r="D15" s="169" t="s">
        <v>124</v>
      </c>
      <c r="E15" s="170">
        <v>1</v>
      </c>
      <c r="F15" s="171">
        <v>77.36</v>
      </c>
      <c r="G15" s="172">
        <v>77.36</v>
      </c>
      <c r="H15" s="171">
        <v>0</v>
      </c>
      <c r="I15" s="172">
        <f>ROUND(E15*H15,2)</f>
        <v>0</v>
      </c>
      <c r="J15" s="171">
        <v>77.36</v>
      </c>
      <c r="K15" s="172">
        <f>ROUND(E15*J15,2)</f>
        <v>77.36</v>
      </c>
      <c r="L15" s="172">
        <v>21</v>
      </c>
      <c r="M15" s="172">
        <f>G15*(1+L15/100)</f>
        <v>93.605599999999995</v>
      </c>
      <c r="N15" s="173">
        <v>5.0000000000000002E-5</v>
      </c>
      <c r="O15" s="173">
        <f>ROUND(E15*N15,5)</f>
        <v>5.0000000000000002E-5</v>
      </c>
      <c r="P15" s="173">
        <v>0</v>
      </c>
      <c r="Q15" s="173">
        <f>ROUND(E15*P15,5)</f>
        <v>0</v>
      </c>
      <c r="R15" s="173"/>
      <c r="S15" s="173"/>
      <c r="T15" s="174">
        <v>0.129</v>
      </c>
      <c r="U15" s="173">
        <f>ROUND(E15*T15,2)</f>
        <v>0.13</v>
      </c>
      <c r="V15" s="175"/>
      <c r="W15" s="175"/>
      <c r="X15" s="175"/>
      <c r="Y15" s="175"/>
      <c r="Z15" s="175"/>
      <c r="AA15" s="175"/>
      <c r="AB15" s="175"/>
      <c r="AC15" s="175"/>
      <c r="AD15" s="175"/>
      <c r="AE15" s="175" t="s">
        <v>114</v>
      </c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  <c r="AW15" s="175"/>
      <c r="AX15" s="175"/>
      <c r="AY15" s="175"/>
      <c r="AZ15" s="175"/>
      <c r="BA15" s="175"/>
      <c r="BB15" s="175"/>
      <c r="BC15" s="175"/>
      <c r="BD15" s="175"/>
      <c r="BE15" s="175"/>
      <c r="BF15" s="175"/>
      <c r="BG15" s="175"/>
      <c r="BH15" s="175"/>
    </row>
    <row r="16" spans="1:60" x14ac:dyDescent="0.3">
      <c r="A16" s="176" t="s">
        <v>109</v>
      </c>
      <c r="B16" s="177" t="s">
        <v>72</v>
      </c>
      <c r="C16" s="178" t="s">
        <v>73</v>
      </c>
      <c r="D16" s="179"/>
      <c r="E16" s="180"/>
      <c r="F16" s="181"/>
      <c r="G16" s="181">
        <f>SUMIF(AE17:AE24,"&lt;&gt;NOR",G17:G24)</f>
        <v>13644.98</v>
      </c>
      <c r="H16" s="181"/>
      <c r="I16" s="181">
        <f>SUM(I17:I24)</f>
        <v>4560.71</v>
      </c>
      <c r="J16" s="181"/>
      <c r="K16" s="181">
        <f>SUM(K17:K24)</f>
        <v>9083.76</v>
      </c>
      <c r="L16" s="181"/>
      <c r="M16" s="181">
        <f>SUM(M17:M24)</f>
        <v>16510.425800000001</v>
      </c>
      <c r="N16" s="182"/>
      <c r="O16" s="182">
        <f>SUM(O17:O24)</f>
        <v>0.30575999999999998</v>
      </c>
      <c r="P16" s="182"/>
      <c r="Q16" s="182">
        <f>SUM(Q17:Q24)</f>
        <v>3.2000000000000001E-2</v>
      </c>
      <c r="R16" s="182"/>
      <c r="S16" s="182"/>
      <c r="T16" s="183"/>
      <c r="U16" s="182">
        <f>SUM(U17:U24)</f>
        <v>20.46</v>
      </c>
      <c r="AE16" t="s">
        <v>110</v>
      </c>
    </row>
    <row r="17" spans="1:60" ht="22.5" outlineLevel="1" x14ac:dyDescent="0.3">
      <c r="A17" s="166">
        <v>6</v>
      </c>
      <c r="B17" s="167" t="s">
        <v>125</v>
      </c>
      <c r="C17" s="168" t="s">
        <v>126</v>
      </c>
      <c r="D17" s="169" t="s">
        <v>124</v>
      </c>
      <c r="E17" s="170">
        <v>7</v>
      </c>
      <c r="F17" s="171">
        <v>234.35</v>
      </c>
      <c r="G17" s="172">
        <v>1640.45</v>
      </c>
      <c r="H17" s="171">
        <v>70.900000000000006</v>
      </c>
      <c r="I17" s="172">
        <f t="shared" ref="I17:I24" si="0">ROUND(E17*H17,2)</f>
        <v>496.3</v>
      </c>
      <c r="J17" s="171">
        <v>163.44999999999999</v>
      </c>
      <c r="K17" s="172">
        <f t="shared" ref="K17:K24" si="1">ROUND(E17*J17,2)</f>
        <v>1144.1500000000001</v>
      </c>
      <c r="L17" s="172">
        <v>21</v>
      </c>
      <c r="M17" s="172">
        <f t="shared" ref="M17:M24" si="2">G17*(1+L17/100)</f>
        <v>1984.9445000000001</v>
      </c>
      <c r="N17" s="173">
        <v>6.8900000000000003E-3</v>
      </c>
      <c r="O17" s="173">
        <f t="shared" ref="O17:O24" si="3">ROUND(E17*N17,5)</f>
        <v>4.8230000000000002E-2</v>
      </c>
      <c r="P17" s="173">
        <v>0</v>
      </c>
      <c r="Q17" s="173">
        <f t="shared" ref="Q17:Q24" si="4">ROUND(E17*P17,5)</f>
        <v>0</v>
      </c>
      <c r="R17" s="173"/>
      <c r="S17" s="173"/>
      <c r="T17" s="174">
        <v>0.38100000000000001</v>
      </c>
      <c r="U17" s="173">
        <f t="shared" ref="U17:U24" si="5">ROUND(E17*T17,2)</f>
        <v>2.67</v>
      </c>
      <c r="V17" s="175"/>
      <c r="W17" s="175"/>
      <c r="X17" s="175"/>
      <c r="Y17" s="175"/>
      <c r="Z17" s="175"/>
      <c r="AA17" s="175"/>
      <c r="AB17" s="175"/>
      <c r="AC17" s="175"/>
      <c r="AD17" s="175"/>
      <c r="AE17" s="175" t="s">
        <v>114</v>
      </c>
      <c r="AF17" s="175"/>
      <c r="AG17" s="175"/>
      <c r="AH17" s="175"/>
      <c r="AI17" s="175"/>
      <c r="AJ17" s="175"/>
      <c r="AK17" s="175"/>
      <c r="AL17" s="175"/>
      <c r="AM17" s="175"/>
      <c r="AN17" s="175"/>
      <c r="AO17" s="175"/>
      <c r="AP17" s="175"/>
      <c r="AQ17" s="175"/>
      <c r="AR17" s="175"/>
      <c r="AS17" s="175"/>
      <c r="AT17" s="175"/>
      <c r="AU17" s="175"/>
      <c r="AV17" s="175"/>
      <c r="AW17" s="175"/>
      <c r="AX17" s="175"/>
      <c r="AY17" s="175"/>
      <c r="AZ17" s="175"/>
      <c r="BA17" s="175"/>
      <c r="BB17" s="175"/>
      <c r="BC17" s="175"/>
      <c r="BD17" s="175"/>
      <c r="BE17" s="175"/>
      <c r="BF17" s="175"/>
      <c r="BG17" s="175"/>
      <c r="BH17" s="175"/>
    </row>
    <row r="18" spans="1:60" ht="22.5" outlineLevel="1" x14ac:dyDescent="0.3">
      <c r="A18" s="166">
        <v>7</v>
      </c>
      <c r="B18" s="167" t="s">
        <v>127</v>
      </c>
      <c r="C18" s="168" t="s">
        <v>128</v>
      </c>
      <c r="D18" s="169" t="s">
        <v>124</v>
      </c>
      <c r="E18" s="170">
        <v>24</v>
      </c>
      <c r="F18" s="171">
        <v>259.37</v>
      </c>
      <c r="G18" s="172">
        <v>6224.88</v>
      </c>
      <c r="H18" s="171">
        <v>92.43</v>
      </c>
      <c r="I18" s="172">
        <f t="shared" si="0"/>
        <v>2218.3200000000002</v>
      </c>
      <c r="J18" s="171">
        <v>166.94</v>
      </c>
      <c r="K18" s="172">
        <f t="shared" si="1"/>
        <v>4006.56</v>
      </c>
      <c r="L18" s="172">
        <v>21</v>
      </c>
      <c r="M18" s="172">
        <f t="shared" si="2"/>
        <v>7532.1048000000001</v>
      </c>
      <c r="N18" s="173">
        <v>6.8799999999999998E-3</v>
      </c>
      <c r="O18" s="173">
        <f t="shared" si="3"/>
        <v>0.16511999999999999</v>
      </c>
      <c r="P18" s="173">
        <v>0</v>
      </c>
      <c r="Q18" s="173">
        <f t="shared" si="4"/>
        <v>0</v>
      </c>
      <c r="R18" s="173"/>
      <c r="S18" s="173"/>
      <c r="T18" s="174">
        <v>0.39200000000000002</v>
      </c>
      <c r="U18" s="173">
        <f t="shared" si="5"/>
        <v>9.41</v>
      </c>
      <c r="V18" s="175"/>
      <c r="W18" s="175"/>
      <c r="X18" s="175"/>
      <c r="Y18" s="175"/>
      <c r="Z18" s="175"/>
      <c r="AA18" s="175"/>
      <c r="AB18" s="175"/>
      <c r="AC18" s="175"/>
      <c r="AD18" s="175"/>
      <c r="AE18" s="175" t="s">
        <v>114</v>
      </c>
      <c r="AF18" s="175"/>
      <c r="AG18" s="175"/>
      <c r="AH18" s="175"/>
      <c r="AI18" s="175"/>
      <c r="AJ18" s="175"/>
      <c r="AK18" s="175"/>
      <c r="AL18" s="17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5"/>
      <c r="AW18" s="175"/>
      <c r="AX18" s="175"/>
      <c r="AY18" s="175"/>
      <c r="AZ18" s="175"/>
      <c r="BA18" s="175"/>
      <c r="BB18" s="175"/>
      <c r="BC18" s="175"/>
      <c r="BD18" s="175"/>
      <c r="BE18" s="175"/>
      <c r="BF18" s="175"/>
      <c r="BG18" s="175"/>
      <c r="BH18" s="175"/>
    </row>
    <row r="19" spans="1:60" ht="22.5" outlineLevel="1" x14ac:dyDescent="0.3">
      <c r="A19" s="166">
        <v>8</v>
      </c>
      <c r="B19" s="167" t="s">
        <v>129</v>
      </c>
      <c r="C19" s="168" t="s">
        <v>130</v>
      </c>
      <c r="D19" s="169" t="s">
        <v>124</v>
      </c>
      <c r="E19" s="170">
        <v>5</v>
      </c>
      <c r="F19" s="171">
        <v>280.99</v>
      </c>
      <c r="G19" s="172">
        <v>1404.95</v>
      </c>
      <c r="H19" s="171">
        <v>111.35</v>
      </c>
      <c r="I19" s="172">
        <f t="shared" si="0"/>
        <v>556.75</v>
      </c>
      <c r="J19" s="171">
        <v>169.64</v>
      </c>
      <c r="K19" s="172">
        <f t="shared" si="1"/>
        <v>848.2</v>
      </c>
      <c r="L19" s="172">
        <v>21</v>
      </c>
      <c r="M19" s="172">
        <f t="shared" si="2"/>
        <v>1699.9894999999999</v>
      </c>
      <c r="N19" s="173">
        <v>6.5700000000000003E-3</v>
      </c>
      <c r="O19" s="173">
        <f t="shared" si="3"/>
        <v>3.2849999999999997E-2</v>
      </c>
      <c r="P19" s="173">
        <v>0</v>
      </c>
      <c r="Q19" s="173">
        <f t="shared" si="4"/>
        <v>0</v>
      </c>
      <c r="R19" s="173"/>
      <c r="S19" s="173"/>
      <c r="T19" s="174">
        <v>0.36799999999999999</v>
      </c>
      <c r="U19" s="173">
        <f t="shared" si="5"/>
        <v>1.84</v>
      </c>
      <c r="V19" s="175"/>
      <c r="W19" s="175"/>
      <c r="X19" s="175"/>
      <c r="Y19" s="175"/>
      <c r="Z19" s="175"/>
      <c r="AA19" s="175"/>
      <c r="AB19" s="175"/>
      <c r="AC19" s="175"/>
      <c r="AD19" s="175"/>
      <c r="AE19" s="175" t="s">
        <v>114</v>
      </c>
      <c r="AF19" s="175"/>
      <c r="AG19" s="175"/>
      <c r="AH19" s="175"/>
      <c r="AI19" s="175"/>
      <c r="AJ19" s="175"/>
      <c r="AK19" s="175"/>
      <c r="AL19" s="175"/>
      <c r="AM19" s="175"/>
      <c r="AN19" s="175"/>
      <c r="AO19" s="175"/>
      <c r="AP19" s="175"/>
      <c r="AQ19" s="175"/>
      <c r="AR19" s="175"/>
      <c r="AS19" s="175"/>
      <c r="AT19" s="175"/>
      <c r="AU19" s="175"/>
      <c r="AV19" s="175"/>
      <c r="AW19" s="175"/>
      <c r="AX19" s="175"/>
      <c r="AY19" s="175"/>
      <c r="AZ19" s="175"/>
      <c r="BA19" s="175"/>
      <c r="BB19" s="175"/>
      <c r="BC19" s="175"/>
      <c r="BD19" s="175"/>
      <c r="BE19" s="175"/>
      <c r="BF19" s="175"/>
      <c r="BG19" s="175"/>
      <c r="BH19" s="175"/>
    </row>
    <row r="20" spans="1:60" ht="22.5" outlineLevel="1" x14ac:dyDescent="0.3">
      <c r="A20" s="166">
        <v>9</v>
      </c>
      <c r="B20" s="167" t="s">
        <v>131</v>
      </c>
      <c r="C20" s="168" t="s">
        <v>132</v>
      </c>
      <c r="D20" s="169" t="s">
        <v>124</v>
      </c>
      <c r="E20" s="170">
        <v>8</v>
      </c>
      <c r="F20" s="171">
        <v>345.83</v>
      </c>
      <c r="G20" s="172">
        <v>2766.64</v>
      </c>
      <c r="H20" s="171">
        <v>152.86000000000001</v>
      </c>
      <c r="I20" s="172">
        <f t="shared" si="0"/>
        <v>1222.8800000000001</v>
      </c>
      <c r="J20" s="171">
        <v>192.97</v>
      </c>
      <c r="K20" s="172">
        <f t="shared" si="1"/>
        <v>1543.76</v>
      </c>
      <c r="L20" s="172">
        <v>21</v>
      </c>
      <c r="M20" s="172">
        <f t="shared" si="2"/>
        <v>3347.6343999999999</v>
      </c>
      <c r="N20" s="173">
        <v>7.4200000000000004E-3</v>
      </c>
      <c r="O20" s="173">
        <f t="shared" si="3"/>
        <v>5.9360000000000003E-2</v>
      </c>
      <c r="P20" s="173">
        <v>0</v>
      </c>
      <c r="Q20" s="173">
        <f t="shared" si="4"/>
        <v>0</v>
      </c>
      <c r="R20" s="173"/>
      <c r="S20" s="173"/>
      <c r="T20" s="174">
        <v>0.42099999999999999</v>
      </c>
      <c r="U20" s="173">
        <f t="shared" si="5"/>
        <v>3.37</v>
      </c>
      <c r="V20" s="175"/>
      <c r="W20" s="175"/>
      <c r="X20" s="175"/>
      <c r="Y20" s="175"/>
      <c r="Z20" s="175"/>
      <c r="AA20" s="175"/>
      <c r="AB20" s="175"/>
      <c r="AC20" s="175"/>
      <c r="AD20" s="175"/>
      <c r="AE20" s="175" t="s">
        <v>114</v>
      </c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75"/>
      <c r="AR20" s="175"/>
      <c r="AS20" s="175"/>
      <c r="AT20" s="175"/>
      <c r="AU20" s="175"/>
      <c r="AV20" s="175"/>
      <c r="AW20" s="175"/>
      <c r="AX20" s="175"/>
      <c r="AY20" s="175"/>
      <c r="AZ20" s="175"/>
      <c r="BA20" s="175"/>
      <c r="BB20" s="175"/>
      <c r="BC20" s="175"/>
      <c r="BD20" s="175"/>
      <c r="BE20" s="175"/>
      <c r="BF20" s="175"/>
      <c r="BG20" s="175"/>
      <c r="BH20" s="175"/>
    </row>
    <row r="21" spans="1:60" outlineLevel="1" x14ac:dyDescent="0.3">
      <c r="A21" s="166">
        <v>10</v>
      </c>
      <c r="B21" s="167" t="s">
        <v>133</v>
      </c>
      <c r="C21" s="168" t="s">
        <v>134</v>
      </c>
      <c r="D21" s="169" t="s">
        <v>124</v>
      </c>
      <c r="E21" s="170">
        <v>44</v>
      </c>
      <c r="F21" s="171">
        <v>17.97</v>
      </c>
      <c r="G21" s="172">
        <v>790.68</v>
      </c>
      <c r="H21" s="171">
        <v>0.44</v>
      </c>
      <c r="I21" s="172">
        <f t="shared" si="0"/>
        <v>19.36</v>
      </c>
      <c r="J21" s="171">
        <v>17.53</v>
      </c>
      <c r="K21" s="172">
        <f t="shared" si="1"/>
        <v>771.32</v>
      </c>
      <c r="L21" s="172">
        <v>21</v>
      </c>
      <c r="M21" s="172">
        <f t="shared" si="2"/>
        <v>956.72279999999989</v>
      </c>
      <c r="N21" s="173">
        <v>0</v>
      </c>
      <c r="O21" s="173">
        <f t="shared" si="3"/>
        <v>0</v>
      </c>
      <c r="P21" s="173">
        <v>0</v>
      </c>
      <c r="Q21" s="173">
        <f t="shared" si="4"/>
        <v>0</v>
      </c>
      <c r="R21" s="173"/>
      <c r="S21" s="173"/>
      <c r="T21" s="174">
        <v>3.2000000000000001E-2</v>
      </c>
      <c r="U21" s="173">
        <f t="shared" si="5"/>
        <v>1.41</v>
      </c>
      <c r="V21" s="175"/>
      <c r="W21" s="175"/>
      <c r="X21" s="175"/>
      <c r="Y21" s="175"/>
      <c r="Z21" s="175"/>
      <c r="AA21" s="175"/>
      <c r="AB21" s="175"/>
      <c r="AC21" s="175"/>
      <c r="AD21" s="175"/>
      <c r="AE21" s="175" t="s">
        <v>114</v>
      </c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5"/>
      <c r="BA21" s="175"/>
      <c r="BB21" s="175"/>
      <c r="BC21" s="175"/>
      <c r="BD21" s="175"/>
      <c r="BE21" s="175"/>
      <c r="BF21" s="175"/>
      <c r="BG21" s="175"/>
      <c r="BH21" s="175"/>
    </row>
    <row r="22" spans="1:60" ht="22.5" outlineLevel="1" x14ac:dyDescent="0.3">
      <c r="A22" s="166">
        <v>11</v>
      </c>
      <c r="B22" s="167" t="s">
        <v>135</v>
      </c>
      <c r="C22" s="168" t="s">
        <v>136</v>
      </c>
      <c r="D22" s="169" t="s">
        <v>119</v>
      </c>
      <c r="E22" s="170">
        <v>0.31365999999999999</v>
      </c>
      <c r="F22" s="171">
        <v>1490.26</v>
      </c>
      <c r="G22" s="172">
        <v>467.94</v>
      </c>
      <c r="H22" s="171">
        <v>0</v>
      </c>
      <c r="I22" s="172">
        <f t="shared" si="0"/>
        <v>0</v>
      </c>
      <c r="J22" s="171">
        <v>1490.26</v>
      </c>
      <c r="K22" s="172">
        <f t="shared" si="1"/>
        <v>467.43</v>
      </c>
      <c r="L22" s="172">
        <v>21</v>
      </c>
      <c r="M22" s="172">
        <f t="shared" si="2"/>
        <v>566.20740000000001</v>
      </c>
      <c r="N22" s="173">
        <v>0</v>
      </c>
      <c r="O22" s="173">
        <f t="shared" si="3"/>
        <v>0</v>
      </c>
      <c r="P22" s="173">
        <v>0</v>
      </c>
      <c r="Q22" s="173">
        <f t="shared" si="4"/>
        <v>0</v>
      </c>
      <c r="R22" s="173"/>
      <c r="S22" s="173"/>
      <c r="T22" s="174">
        <v>3.5630000000000002</v>
      </c>
      <c r="U22" s="173">
        <f t="shared" si="5"/>
        <v>1.1200000000000001</v>
      </c>
      <c r="V22" s="175"/>
      <c r="W22" s="175"/>
      <c r="X22" s="175"/>
      <c r="Y22" s="175"/>
      <c r="Z22" s="175"/>
      <c r="AA22" s="175"/>
      <c r="AB22" s="175"/>
      <c r="AC22" s="175"/>
      <c r="AD22" s="175"/>
      <c r="AE22" s="175" t="s">
        <v>114</v>
      </c>
      <c r="AF22" s="175"/>
      <c r="AG22" s="175"/>
      <c r="AH22" s="175"/>
      <c r="AI22" s="175"/>
      <c r="AJ22" s="175"/>
      <c r="AK22" s="175"/>
      <c r="AL22" s="175"/>
      <c r="AM22" s="175"/>
      <c r="AN22" s="175"/>
      <c r="AO22" s="175"/>
      <c r="AP22" s="175"/>
      <c r="AQ22" s="175"/>
      <c r="AR22" s="175"/>
      <c r="AS22" s="175"/>
      <c r="AT22" s="175"/>
      <c r="AU22" s="175"/>
      <c r="AV22" s="175"/>
      <c r="AW22" s="175"/>
      <c r="AX22" s="175"/>
      <c r="AY22" s="175"/>
      <c r="AZ22" s="175"/>
      <c r="BA22" s="175"/>
      <c r="BB22" s="175"/>
      <c r="BC22" s="175"/>
      <c r="BD22" s="175"/>
      <c r="BE22" s="175"/>
      <c r="BF22" s="175"/>
      <c r="BG22" s="175"/>
      <c r="BH22" s="175"/>
    </row>
    <row r="23" spans="1:60" ht="22.5" outlineLevel="1" x14ac:dyDescent="0.3">
      <c r="A23" s="166">
        <v>12</v>
      </c>
      <c r="B23" s="167" t="s">
        <v>137</v>
      </c>
      <c r="C23" s="168" t="s">
        <v>138</v>
      </c>
      <c r="D23" s="169" t="s">
        <v>124</v>
      </c>
      <c r="E23" s="170">
        <v>10</v>
      </c>
      <c r="F23" s="171">
        <v>30.03</v>
      </c>
      <c r="G23" s="172">
        <v>300.3</v>
      </c>
      <c r="H23" s="171">
        <v>4.71</v>
      </c>
      <c r="I23" s="172">
        <f t="shared" si="0"/>
        <v>47.1</v>
      </c>
      <c r="J23" s="171">
        <v>25.32</v>
      </c>
      <c r="K23" s="172">
        <f t="shared" si="1"/>
        <v>253.2</v>
      </c>
      <c r="L23" s="172">
        <v>21</v>
      </c>
      <c r="M23" s="172">
        <f t="shared" si="2"/>
        <v>363.363</v>
      </c>
      <c r="N23" s="173">
        <v>2.0000000000000002E-5</v>
      </c>
      <c r="O23" s="173">
        <f t="shared" si="3"/>
        <v>2.0000000000000001E-4</v>
      </c>
      <c r="P23" s="173">
        <v>3.2000000000000002E-3</v>
      </c>
      <c r="Q23" s="173">
        <f t="shared" si="4"/>
        <v>3.2000000000000001E-2</v>
      </c>
      <c r="R23" s="173"/>
      <c r="S23" s="173"/>
      <c r="T23" s="174">
        <v>5.2999999999999999E-2</v>
      </c>
      <c r="U23" s="173">
        <f t="shared" si="5"/>
        <v>0.53</v>
      </c>
      <c r="V23" s="175"/>
      <c r="W23" s="175"/>
      <c r="X23" s="175"/>
      <c r="Y23" s="175"/>
      <c r="Z23" s="175"/>
      <c r="AA23" s="175"/>
      <c r="AB23" s="175"/>
      <c r="AC23" s="175"/>
      <c r="AD23" s="175"/>
      <c r="AE23" s="175" t="s">
        <v>114</v>
      </c>
      <c r="AF23" s="175"/>
      <c r="AG23" s="175"/>
      <c r="AH23" s="175"/>
      <c r="AI23" s="175"/>
      <c r="AJ23" s="175"/>
      <c r="AK23" s="175"/>
      <c r="AL23" s="175"/>
      <c r="AM23" s="175"/>
      <c r="AN23" s="175"/>
      <c r="AO23" s="175"/>
      <c r="AP23" s="175"/>
      <c r="AQ23" s="175"/>
      <c r="AR23" s="175"/>
      <c r="AS23" s="175"/>
      <c r="AT23" s="175"/>
      <c r="AU23" s="175"/>
      <c r="AV23" s="175"/>
      <c r="AW23" s="175"/>
      <c r="AX23" s="175"/>
      <c r="AY23" s="175"/>
      <c r="AZ23" s="175"/>
      <c r="BA23" s="175"/>
      <c r="BB23" s="175"/>
      <c r="BC23" s="175"/>
      <c r="BD23" s="175"/>
      <c r="BE23" s="175"/>
      <c r="BF23" s="175"/>
      <c r="BG23" s="175"/>
      <c r="BH23" s="175"/>
    </row>
    <row r="24" spans="1:60" ht="22.5" outlineLevel="1" x14ac:dyDescent="0.3">
      <c r="A24" s="166">
        <v>13</v>
      </c>
      <c r="B24" s="167" t="s">
        <v>139</v>
      </c>
      <c r="C24" s="168" t="s">
        <v>140</v>
      </c>
      <c r="D24" s="169" t="s">
        <v>119</v>
      </c>
      <c r="E24" s="170">
        <v>3.2000000000000001E-2</v>
      </c>
      <c r="F24" s="171">
        <v>1535.76</v>
      </c>
      <c r="G24" s="172">
        <v>49.14</v>
      </c>
      <c r="H24" s="171">
        <v>0</v>
      </c>
      <c r="I24" s="172">
        <f t="shared" si="0"/>
        <v>0</v>
      </c>
      <c r="J24" s="171">
        <v>1535.76</v>
      </c>
      <c r="K24" s="172">
        <f t="shared" si="1"/>
        <v>49.14</v>
      </c>
      <c r="L24" s="172">
        <v>21</v>
      </c>
      <c r="M24" s="172">
        <f t="shared" si="2"/>
        <v>59.459400000000002</v>
      </c>
      <c r="N24" s="173">
        <v>0</v>
      </c>
      <c r="O24" s="173">
        <f t="shared" si="3"/>
        <v>0</v>
      </c>
      <c r="P24" s="173">
        <v>0</v>
      </c>
      <c r="Q24" s="173">
        <f t="shared" si="4"/>
        <v>0</v>
      </c>
      <c r="R24" s="173"/>
      <c r="S24" s="173"/>
      <c r="T24" s="174">
        <v>3.5630000000000002</v>
      </c>
      <c r="U24" s="173">
        <f t="shared" si="5"/>
        <v>0.11</v>
      </c>
      <c r="V24" s="175"/>
      <c r="W24" s="175"/>
      <c r="X24" s="175"/>
      <c r="Y24" s="175"/>
      <c r="Z24" s="175"/>
      <c r="AA24" s="175"/>
      <c r="AB24" s="175"/>
      <c r="AC24" s="175"/>
      <c r="AD24" s="175"/>
      <c r="AE24" s="175" t="s">
        <v>114</v>
      </c>
      <c r="AF24" s="175"/>
      <c r="AG24" s="175"/>
      <c r="AH24" s="175"/>
      <c r="AI24" s="175"/>
      <c r="AJ24" s="175"/>
      <c r="AK24" s="175"/>
      <c r="AL24" s="175"/>
      <c r="AM24" s="175"/>
      <c r="AN24" s="175"/>
      <c r="AO24" s="175"/>
      <c r="AP24" s="175"/>
      <c r="AQ24" s="175"/>
      <c r="AR24" s="175"/>
      <c r="AS24" s="175"/>
      <c r="AT24" s="175"/>
      <c r="AU24" s="175"/>
      <c r="AV24" s="175"/>
      <c r="AW24" s="175"/>
      <c r="AX24" s="175"/>
      <c r="AY24" s="175"/>
      <c r="AZ24" s="175"/>
      <c r="BA24" s="175"/>
      <c r="BB24" s="175"/>
      <c r="BC24" s="175"/>
      <c r="BD24" s="175"/>
      <c r="BE24" s="175"/>
      <c r="BF24" s="175"/>
      <c r="BG24" s="175"/>
      <c r="BH24" s="175"/>
    </row>
    <row r="25" spans="1:60" x14ac:dyDescent="0.3">
      <c r="A25" s="176" t="s">
        <v>109</v>
      </c>
      <c r="B25" s="177" t="s">
        <v>74</v>
      </c>
      <c r="C25" s="178" t="s">
        <v>75</v>
      </c>
      <c r="D25" s="179"/>
      <c r="E25" s="180"/>
      <c r="F25" s="181"/>
      <c r="G25" s="181">
        <f>SUMIF(AE26:AE31,"&lt;&gt;NOR",G26:G31)</f>
        <v>7073.7099999999991</v>
      </c>
      <c r="H25" s="181"/>
      <c r="I25" s="181">
        <f>SUM(I26:I31)</f>
        <v>1039.27</v>
      </c>
      <c r="J25" s="181"/>
      <c r="K25" s="181">
        <f>SUM(K26:K31)</f>
        <v>6034.6599999999989</v>
      </c>
      <c r="L25" s="181"/>
      <c r="M25" s="181">
        <f>SUM(M26:M31)</f>
        <v>8559.1890999999996</v>
      </c>
      <c r="N25" s="182"/>
      <c r="O25" s="182">
        <f>SUM(O26:O31)</f>
        <v>4.1599999999999996E-3</v>
      </c>
      <c r="P25" s="182"/>
      <c r="Q25" s="182">
        <f>SUM(Q26:Q31)</f>
        <v>3.5200000000000002E-2</v>
      </c>
      <c r="R25" s="182"/>
      <c r="S25" s="182"/>
      <c r="T25" s="183"/>
      <c r="U25" s="182">
        <f>SUM(U26:U31)</f>
        <v>13.21</v>
      </c>
      <c r="AE25" t="s">
        <v>110</v>
      </c>
    </row>
    <row r="26" spans="1:60" outlineLevel="1" x14ac:dyDescent="0.3">
      <c r="A26" s="166">
        <v>14</v>
      </c>
      <c r="B26" s="167" t="s">
        <v>141</v>
      </c>
      <c r="C26" s="168" t="s">
        <v>142</v>
      </c>
      <c r="D26" s="169" t="s">
        <v>113</v>
      </c>
      <c r="E26" s="170">
        <v>5</v>
      </c>
      <c r="F26" s="171">
        <v>93.17</v>
      </c>
      <c r="G26" s="172">
        <v>465.85</v>
      </c>
      <c r="H26" s="171">
        <v>3.05</v>
      </c>
      <c r="I26" s="172">
        <f t="shared" ref="I26:I31" si="6">ROUND(E26*H26,2)</f>
        <v>15.25</v>
      </c>
      <c r="J26" s="171">
        <v>90.12</v>
      </c>
      <c r="K26" s="172">
        <f t="shared" ref="K26:K31" si="7">ROUND(E26*J26,2)</f>
        <v>450.6</v>
      </c>
      <c r="L26" s="172">
        <v>21</v>
      </c>
      <c r="M26" s="172">
        <f t="shared" ref="M26:M31" si="8">G26*(1+L26/100)</f>
        <v>563.67849999999999</v>
      </c>
      <c r="N26" s="173">
        <v>0</v>
      </c>
      <c r="O26" s="173">
        <f t="shared" ref="O26:O31" si="9">ROUND(E26*N26,5)</f>
        <v>0</v>
      </c>
      <c r="P26" s="173">
        <v>0</v>
      </c>
      <c r="Q26" s="173">
        <f t="shared" ref="Q26:Q31" si="10">ROUND(E26*P26,5)</f>
        <v>0</v>
      </c>
      <c r="R26" s="173"/>
      <c r="S26" s="173"/>
      <c r="T26" s="174">
        <v>0.16500000000000001</v>
      </c>
      <c r="U26" s="173">
        <f t="shared" ref="U26:U31" si="11">ROUND(E26*T26,2)</f>
        <v>0.83</v>
      </c>
      <c r="V26" s="175"/>
      <c r="W26" s="175"/>
      <c r="X26" s="175"/>
      <c r="Y26" s="175"/>
      <c r="Z26" s="175"/>
      <c r="AA26" s="175"/>
      <c r="AB26" s="175"/>
      <c r="AC26" s="175"/>
      <c r="AD26" s="175"/>
      <c r="AE26" s="175" t="s">
        <v>114</v>
      </c>
      <c r="AF26" s="175"/>
      <c r="AG26" s="175"/>
      <c r="AH26" s="175"/>
      <c r="AI26" s="175"/>
      <c r="AJ26" s="175"/>
      <c r="AK26" s="175"/>
      <c r="AL26" s="175"/>
      <c r="AM26" s="175"/>
      <c r="AN26" s="175"/>
      <c r="AO26" s="175"/>
      <c r="AP26" s="175"/>
      <c r="AQ26" s="175"/>
      <c r="AR26" s="175"/>
      <c r="AS26" s="175"/>
      <c r="AT26" s="175"/>
      <c r="AU26" s="175"/>
      <c r="AV26" s="175"/>
      <c r="AW26" s="175"/>
      <c r="AX26" s="175"/>
      <c r="AY26" s="175"/>
      <c r="AZ26" s="175"/>
      <c r="BA26" s="175"/>
      <c r="BB26" s="175"/>
      <c r="BC26" s="175"/>
      <c r="BD26" s="175"/>
      <c r="BE26" s="175"/>
      <c r="BF26" s="175"/>
      <c r="BG26" s="175"/>
      <c r="BH26" s="175"/>
    </row>
    <row r="27" spans="1:60" outlineLevel="1" x14ac:dyDescent="0.3">
      <c r="A27" s="166">
        <v>15</v>
      </c>
      <c r="B27" s="167" t="s">
        <v>143</v>
      </c>
      <c r="C27" s="168" t="s">
        <v>144</v>
      </c>
      <c r="D27" s="169" t="s">
        <v>113</v>
      </c>
      <c r="E27" s="170">
        <v>15</v>
      </c>
      <c r="F27" s="171">
        <v>93.97</v>
      </c>
      <c r="G27" s="172">
        <v>1409.55</v>
      </c>
      <c r="H27" s="171">
        <v>3.82</v>
      </c>
      <c r="I27" s="172">
        <f t="shared" si="6"/>
        <v>57.3</v>
      </c>
      <c r="J27" s="171">
        <v>90.15</v>
      </c>
      <c r="K27" s="172">
        <f t="shared" si="7"/>
        <v>1352.25</v>
      </c>
      <c r="L27" s="172">
        <v>21</v>
      </c>
      <c r="M27" s="172">
        <f t="shared" si="8"/>
        <v>1705.5554999999999</v>
      </c>
      <c r="N27" s="173">
        <v>0</v>
      </c>
      <c r="O27" s="173">
        <f t="shared" si="9"/>
        <v>0</v>
      </c>
      <c r="P27" s="173">
        <v>0</v>
      </c>
      <c r="Q27" s="173">
        <f t="shared" si="10"/>
        <v>0</v>
      </c>
      <c r="R27" s="173"/>
      <c r="S27" s="173"/>
      <c r="T27" s="174">
        <v>0.16500000000000001</v>
      </c>
      <c r="U27" s="173">
        <f t="shared" si="11"/>
        <v>2.48</v>
      </c>
      <c r="V27" s="175"/>
      <c r="W27" s="175"/>
      <c r="X27" s="175"/>
      <c r="Y27" s="175"/>
      <c r="Z27" s="175"/>
      <c r="AA27" s="175"/>
      <c r="AB27" s="175"/>
      <c r="AC27" s="175"/>
      <c r="AD27" s="175"/>
      <c r="AE27" s="175" t="s">
        <v>114</v>
      </c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  <c r="AW27" s="175"/>
      <c r="AX27" s="175"/>
      <c r="AY27" s="175"/>
      <c r="AZ27" s="175"/>
      <c r="BA27" s="175"/>
      <c r="BB27" s="175"/>
      <c r="BC27" s="175"/>
      <c r="BD27" s="175"/>
      <c r="BE27" s="175"/>
      <c r="BF27" s="175"/>
      <c r="BG27" s="175"/>
      <c r="BH27" s="175"/>
    </row>
    <row r="28" spans="1:60" ht="22.5" outlineLevel="1" x14ac:dyDescent="0.3">
      <c r="A28" s="166">
        <v>16</v>
      </c>
      <c r="B28" s="167" t="s">
        <v>145</v>
      </c>
      <c r="C28" s="168" t="s">
        <v>146</v>
      </c>
      <c r="D28" s="169" t="s">
        <v>113</v>
      </c>
      <c r="E28" s="170">
        <v>17</v>
      </c>
      <c r="F28" s="171">
        <v>39.36</v>
      </c>
      <c r="G28" s="172">
        <v>669.12</v>
      </c>
      <c r="H28" s="171">
        <v>0</v>
      </c>
      <c r="I28" s="172">
        <f t="shared" si="6"/>
        <v>0</v>
      </c>
      <c r="J28" s="171">
        <v>39.36</v>
      </c>
      <c r="K28" s="172">
        <f t="shared" si="7"/>
        <v>669.12</v>
      </c>
      <c r="L28" s="172">
        <v>21</v>
      </c>
      <c r="M28" s="172">
        <f t="shared" si="8"/>
        <v>809.63519999999994</v>
      </c>
      <c r="N28" s="173">
        <v>0</v>
      </c>
      <c r="O28" s="173">
        <f t="shared" si="9"/>
        <v>0</v>
      </c>
      <c r="P28" s="173">
        <v>0</v>
      </c>
      <c r="Q28" s="173">
        <f t="shared" si="10"/>
        <v>0</v>
      </c>
      <c r="R28" s="173"/>
      <c r="S28" s="173"/>
      <c r="T28" s="174">
        <v>0.14399999999999999</v>
      </c>
      <c r="U28" s="173">
        <f t="shared" si="11"/>
        <v>2.4500000000000002</v>
      </c>
      <c r="V28" s="175"/>
      <c r="W28" s="175"/>
      <c r="X28" s="175"/>
      <c r="Y28" s="175"/>
      <c r="Z28" s="175"/>
      <c r="AA28" s="175"/>
      <c r="AB28" s="175"/>
      <c r="AC28" s="175"/>
      <c r="AD28" s="175"/>
      <c r="AE28" s="175" t="s">
        <v>114</v>
      </c>
      <c r="AF28" s="175"/>
      <c r="AG28" s="175"/>
      <c r="AH28" s="175"/>
      <c r="AI28" s="175"/>
      <c r="AJ28" s="175"/>
      <c r="AK28" s="175"/>
      <c r="AL28" s="175"/>
      <c r="AM28" s="175"/>
      <c r="AN28" s="175"/>
      <c r="AO28" s="175"/>
      <c r="AP28" s="175"/>
      <c r="AQ28" s="175"/>
      <c r="AR28" s="175"/>
      <c r="AS28" s="175"/>
      <c r="AT28" s="175"/>
      <c r="AU28" s="175"/>
      <c r="AV28" s="175"/>
      <c r="AW28" s="175"/>
      <c r="AX28" s="175"/>
      <c r="AY28" s="175"/>
      <c r="AZ28" s="175"/>
      <c r="BA28" s="175"/>
      <c r="BB28" s="175"/>
      <c r="BC28" s="175"/>
      <c r="BD28" s="175"/>
      <c r="BE28" s="175"/>
      <c r="BF28" s="175"/>
      <c r="BG28" s="175"/>
      <c r="BH28" s="175"/>
    </row>
    <row r="29" spans="1:60" outlineLevel="1" x14ac:dyDescent="0.3">
      <c r="A29" s="166">
        <v>17</v>
      </c>
      <c r="B29" s="167" t="s">
        <v>147</v>
      </c>
      <c r="C29" s="168" t="s">
        <v>148</v>
      </c>
      <c r="D29" s="169" t="s">
        <v>119</v>
      </c>
      <c r="E29" s="170">
        <v>1.2E-2</v>
      </c>
      <c r="F29" s="171">
        <v>1077.31</v>
      </c>
      <c r="G29" s="172">
        <v>12.93</v>
      </c>
      <c r="H29" s="171">
        <v>0</v>
      </c>
      <c r="I29" s="172">
        <f t="shared" si="6"/>
        <v>0</v>
      </c>
      <c r="J29" s="171">
        <v>1077.31</v>
      </c>
      <c r="K29" s="172">
        <f t="shared" si="7"/>
        <v>12.93</v>
      </c>
      <c r="L29" s="172">
        <v>21</v>
      </c>
      <c r="M29" s="172">
        <f t="shared" si="8"/>
        <v>15.645299999999999</v>
      </c>
      <c r="N29" s="173">
        <v>0</v>
      </c>
      <c r="O29" s="173">
        <f t="shared" si="9"/>
        <v>0</v>
      </c>
      <c r="P29" s="173">
        <v>0</v>
      </c>
      <c r="Q29" s="173">
        <f t="shared" si="10"/>
        <v>0</v>
      </c>
      <c r="R29" s="173"/>
      <c r="S29" s="173"/>
      <c r="T29" s="174">
        <v>2.5750000000000002</v>
      </c>
      <c r="U29" s="173">
        <f t="shared" si="11"/>
        <v>0.03</v>
      </c>
      <c r="V29" s="175"/>
      <c r="W29" s="175"/>
      <c r="X29" s="175"/>
      <c r="Y29" s="175"/>
      <c r="Z29" s="175"/>
      <c r="AA29" s="175"/>
      <c r="AB29" s="175"/>
      <c r="AC29" s="175"/>
      <c r="AD29" s="175"/>
      <c r="AE29" s="175" t="s">
        <v>114</v>
      </c>
      <c r="AF29" s="175"/>
      <c r="AG29" s="175"/>
      <c r="AH29" s="175"/>
      <c r="AI29" s="175"/>
      <c r="AJ29" s="175"/>
      <c r="AK29" s="175"/>
      <c r="AL29" s="175"/>
      <c r="AM29" s="175"/>
      <c r="AN29" s="175"/>
      <c r="AO29" s="175"/>
      <c r="AP29" s="175"/>
      <c r="AQ29" s="175"/>
      <c r="AR29" s="175"/>
      <c r="AS29" s="175"/>
      <c r="AT29" s="175"/>
      <c r="AU29" s="175"/>
      <c r="AV29" s="175"/>
      <c r="AW29" s="175"/>
      <c r="AX29" s="175"/>
      <c r="AY29" s="175"/>
      <c r="AZ29" s="175"/>
      <c r="BA29" s="175"/>
      <c r="BB29" s="175"/>
      <c r="BC29" s="175"/>
      <c r="BD29" s="175"/>
      <c r="BE29" s="175"/>
      <c r="BF29" s="175"/>
      <c r="BG29" s="175"/>
      <c r="BH29" s="175"/>
    </row>
    <row r="30" spans="1:60" outlineLevel="1" x14ac:dyDescent="0.3">
      <c r="A30" s="166">
        <v>18</v>
      </c>
      <c r="B30" s="167" t="s">
        <v>149</v>
      </c>
      <c r="C30" s="168" t="s">
        <v>150</v>
      </c>
      <c r="D30" s="169" t="s">
        <v>113</v>
      </c>
      <c r="E30" s="170">
        <v>32</v>
      </c>
      <c r="F30" s="171">
        <v>139.91999999999999</v>
      </c>
      <c r="G30" s="172">
        <v>4477.4399999999996</v>
      </c>
      <c r="H30" s="171">
        <v>30.21</v>
      </c>
      <c r="I30" s="172">
        <f t="shared" si="6"/>
        <v>966.72</v>
      </c>
      <c r="J30" s="171">
        <v>109.71</v>
      </c>
      <c r="K30" s="172">
        <f t="shared" si="7"/>
        <v>3510.72</v>
      </c>
      <c r="L30" s="172">
        <v>21</v>
      </c>
      <c r="M30" s="172">
        <f t="shared" si="8"/>
        <v>5417.7023999999992</v>
      </c>
      <c r="N30" s="173">
        <v>1.2999999999999999E-4</v>
      </c>
      <c r="O30" s="173">
        <f t="shared" si="9"/>
        <v>4.1599999999999996E-3</v>
      </c>
      <c r="P30" s="173">
        <v>1.1000000000000001E-3</v>
      </c>
      <c r="Q30" s="173">
        <f t="shared" si="10"/>
        <v>3.5200000000000002E-2</v>
      </c>
      <c r="R30" s="173"/>
      <c r="S30" s="173"/>
      <c r="T30" s="174">
        <v>0.22900000000000001</v>
      </c>
      <c r="U30" s="173">
        <f t="shared" si="11"/>
        <v>7.33</v>
      </c>
      <c r="V30" s="175"/>
      <c r="W30" s="175"/>
      <c r="X30" s="175"/>
      <c r="Y30" s="175"/>
      <c r="Z30" s="175"/>
      <c r="AA30" s="175"/>
      <c r="AB30" s="175"/>
      <c r="AC30" s="175"/>
      <c r="AD30" s="175"/>
      <c r="AE30" s="175" t="s">
        <v>114</v>
      </c>
      <c r="AF30" s="175"/>
      <c r="AG30" s="175"/>
      <c r="AH30" s="175"/>
      <c r="AI30" s="175"/>
      <c r="AJ30" s="175"/>
      <c r="AK30" s="175"/>
      <c r="AL30" s="175"/>
      <c r="AM30" s="175"/>
      <c r="AN30" s="175"/>
      <c r="AO30" s="175"/>
      <c r="AP30" s="175"/>
      <c r="AQ30" s="175"/>
      <c r="AR30" s="175"/>
      <c r="AS30" s="175"/>
      <c r="AT30" s="175"/>
      <c r="AU30" s="175"/>
      <c r="AV30" s="175"/>
      <c r="AW30" s="175"/>
      <c r="AX30" s="175"/>
      <c r="AY30" s="175"/>
      <c r="AZ30" s="175"/>
      <c r="BA30" s="175"/>
      <c r="BB30" s="175"/>
      <c r="BC30" s="175"/>
      <c r="BD30" s="175"/>
      <c r="BE30" s="175"/>
      <c r="BF30" s="175"/>
      <c r="BG30" s="175"/>
      <c r="BH30" s="175"/>
    </row>
    <row r="31" spans="1:60" ht="22.5" outlineLevel="1" x14ac:dyDescent="0.3">
      <c r="A31" s="166">
        <v>19</v>
      </c>
      <c r="B31" s="167" t="s">
        <v>151</v>
      </c>
      <c r="C31" s="168" t="s">
        <v>152</v>
      </c>
      <c r="D31" s="169" t="s">
        <v>119</v>
      </c>
      <c r="E31" s="170">
        <v>3.5200000000000002E-2</v>
      </c>
      <c r="F31" s="171">
        <v>1109.1600000000001</v>
      </c>
      <c r="G31" s="172">
        <v>38.82</v>
      </c>
      <c r="H31" s="171">
        <v>0</v>
      </c>
      <c r="I31" s="172">
        <f t="shared" si="6"/>
        <v>0</v>
      </c>
      <c r="J31" s="171">
        <v>1109.1600000000001</v>
      </c>
      <c r="K31" s="172">
        <f t="shared" si="7"/>
        <v>39.04</v>
      </c>
      <c r="L31" s="172">
        <v>21</v>
      </c>
      <c r="M31" s="172">
        <f t="shared" si="8"/>
        <v>46.972200000000001</v>
      </c>
      <c r="N31" s="173">
        <v>0</v>
      </c>
      <c r="O31" s="173">
        <f t="shared" si="9"/>
        <v>0</v>
      </c>
      <c r="P31" s="173">
        <v>0</v>
      </c>
      <c r="Q31" s="173">
        <f t="shared" si="10"/>
        <v>0</v>
      </c>
      <c r="R31" s="173"/>
      <c r="S31" s="173"/>
      <c r="T31" s="174">
        <v>2.5750000000000002</v>
      </c>
      <c r="U31" s="173">
        <f t="shared" si="11"/>
        <v>0.09</v>
      </c>
      <c r="V31" s="175"/>
      <c r="W31" s="175"/>
      <c r="X31" s="175"/>
      <c r="Y31" s="175"/>
      <c r="Z31" s="175"/>
      <c r="AA31" s="175"/>
      <c r="AB31" s="175"/>
      <c r="AC31" s="175"/>
      <c r="AD31" s="175"/>
      <c r="AE31" s="175" t="s">
        <v>114</v>
      </c>
      <c r="AF31" s="175"/>
      <c r="AG31" s="175"/>
      <c r="AH31" s="175"/>
      <c r="AI31" s="175"/>
      <c r="AJ31" s="175"/>
      <c r="AK31" s="175"/>
      <c r="AL31" s="175"/>
      <c r="AM31" s="175"/>
      <c r="AN31" s="175"/>
      <c r="AO31" s="175"/>
      <c r="AP31" s="175"/>
      <c r="AQ31" s="175"/>
      <c r="AR31" s="175"/>
      <c r="AS31" s="175"/>
      <c r="AT31" s="175"/>
      <c r="AU31" s="175"/>
      <c r="AV31" s="175"/>
      <c r="AW31" s="175"/>
      <c r="AX31" s="175"/>
      <c r="AY31" s="175"/>
      <c r="AZ31" s="175"/>
      <c r="BA31" s="175"/>
      <c r="BB31" s="175"/>
      <c r="BC31" s="175"/>
      <c r="BD31" s="175"/>
      <c r="BE31" s="175"/>
      <c r="BF31" s="175"/>
      <c r="BG31" s="175"/>
      <c r="BH31" s="175"/>
    </row>
    <row r="32" spans="1:60" x14ac:dyDescent="0.3">
      <c r="A32" s="176" t="s">
        <v>109</v>
      </c>
      <c r="B32" s="177" t="s">
        <v>76</v>
      </c>
      <c r="C32" s="178" t="s">
        <v>77</v>
      </c>
      <c r="D32" s="179"/>
      <c r="E32" s="180"/>
      <c r="F32" s="181"/>
      <c r="G32" s="181">
        <f>SUMIF(AE33:AE44,"&lt;&gt;NOR",G33:G44)</f>
        <v>33196.1</v>
      </c>
      <c r="H32" s="181"/>
      <c r="I32" s="181">
        <f>SUM(I33:I44)</f>
        <v>7363.0999999999995</v>
      </c>
      <c r="J32" s="181"/>
      <c r="K32" s="181">
        <f>SUM(K33:K44)</f>
        <v>25833.789999999997</v>
      </c>
      <c r="L32" s="181"/>
      <c r="M32" s="181">
        <f>SUM(M33:M44)</f>
        <v>40167.28100000001</v>
      </c>
      <c r="N32" s="182"/>
      <c r="O32" s="182">
        <f>SUM(O33:O44)</f>
        <v>1.3635699999999999</v>
      </c>
      <c r="P32" s="182"/>
      <c r="Q32" s="182">
        <f>SUM(Q33:Q44)</f>
        <v>1.9491900000000002</v>
      </c>
      <c r="R32" s="182"/>
      <c r="S32" s="182"/>
      <c r="T32" s="183"/>
      <c r="U32" s="182">
        <f>SUM(U33:U44)</f>
        <v>54.059999999999995</v>
      </c>
      <c r="AE32" t="s">
        <v>110</v>
      </c>
    </row>
    <row r="33" spans="1:60" outlineLevel="1" x14ac:dyDescent="0.3">
      <c r="A33" s="166">
        <v>20</v>
      </c>
      <c r="B33" s="167" t="s">
        <v>153</v>
      </c>
      <c r="C33" s="168" t="s">
        <v>154</v>
      </c>
      <c r="D33" s="169" t="s">
        <v>155</v>
      </c>
      <c r="E33" s="170">
        <v>83.9</v>
      </c>
      <c r="F33" s="171">
        <v>14.79</v>
      </c>
      <c r="G33" s="172">
        <v>1240.8800000000001</v>
      </c>
      <c r="H33" s="171">
        <v>0</v>
      </c>
      <c r="I33" s="172">
        <f t="shared" ref="I33:I44" si="12">ROUND(E33*H33,2)</f>
        <v>0</v>
      </c>
      <c r="J33" s="171">
        <v>14.79</v>
      </c>
      <c r="K33" s="172">
        <f t="shared" ref="K33:K44" si="13">ROUND(E33*J33,2)</f>
        <v>1240.8800000000001</v>
      </c>
      <c r="L33" s="172">
        <v>21</v>
      </c>
      <c r="M33" s="172">
        <f t="shared" ref="M33:M44" si="14">G33*(1+L33/100)</f>
        <v>1501.4648000000002</v>
      </c>
      <c r="N33" s="173">
        <v>0</v>
      </c>
      <c r="O33" s="173">
        <f t="shared" ref="O33:O44" si="15">ROUND(E33*N33,5)</f>
        <v>0</v>
      </c>
      <c r="P33" s="173">
        <v>0</v>
      </c>
      <c r="Q33" s="173">
        <f t="shared" ref="Q33:Q44" si="16">ROUND(E33*P33,5)</f>
        <v>0</v>
      </c>
      <c r="R33" s="173"/>
      <c r="S33" s="173"/>
      <c r="T33" s="174">
        <v>3.1E-2</v>
      </c>
      <c r="U33" s="173">
        <f t="shared" ref="U33:U44" si="17">ROUND(E33*T33,2)</f>
        <v>2.6</v>
      </c>
      <c r="V33" s="175"/>
      <c r="W33" s="175"/>
      <c r="X33" s="175"/>
      <c r="Y33" s="175"/>
      <c r="Z33" s="175"/>
      <c r="AA33" s="175"/>
      <c r="AB33" s="175"/>
      <c r="AC33" s="175"/>
      <c r="AD33" s="175"/>
      <c r="AE33" s="175" t="s">
        <v>114</v>
      </c>
      <c r="AF33" s="175"/>
      <c r="AG33" s="175"/>
      <c r="AH33" s="175"/>
      <c r="AI33" s="175"/>
      <c r="AJ33" s="175"/>
      <c r="AK33" s="175"/>
      <c r="AL33" s="175"/>
      <c r="AM33" s="175"/>
      <c r="AN33" s="175"/>
      <c r="AO33" s="175"/>
      <c r="AP33" s="175"/>
      <c r="AQ33" s="175"/>
      <c r="AR33" s="175"/>
      <c r="AS33" s="175"/>
      <c r="AT33" s="175"/>
      <c r="AU33" s="175"/>
      <c r="AV33" s="175"/>
      <c r="AW33" s="175"/>
      <c r="AX33" s="175"/>
      <c r="AY33" s="175"/>
      <c r="AZ33" s="175"/>
      <c r="BA33" s="175"/>
      <c r="BB33" s="175"/>
      <c r="BC33" s="175"/>
      <c r="BD33" s="175"/>
      <c r="BE33" s="175"/>
      <c r="BF33" s="175"/>
      <c r="BG33" s="175"/>
      <c r="BH33" s="175"/>
    </row>
    <row r="34" spans="1:60" outlineLevel="1" x14ac:dyDescent="0.3">
      <c r="A34" s="166">
        <v>21</v>
      </c>
      <c r="B34" s="167" t="s">
        <v>156</v>
      </c>
      <c r="C34" s="168" t="s">
        <v>157</v>
      </c>
      <c r="D34" s="169" t="s">
        <v>155</v>
      </c>
      <c r="E34" s="170">
        <v>63.8</v>
      </c>
      <c r="F34" s="171">
        <v>29.69</v>
      </c>
      <c r="G34" s="172">
        <v>1894.22</v>
      </c>
      <c r="H34" s="171">
        <v>0</v>
      </c>
      <c r="I34" s="172">
        <f t="shared" si="12"/>
        <v>0</v>
      </c>
      <c r="J34" s="171">
        <v>29.69</v>
      </c>
      <c r="K34" s="172">
        <f t="shared" si="13"/>
        <v>1894.22</v>
      </c>
      <c r="L34" s="172">
        <v>21</v>
      </c>
      <c r="M34" s="172">
        <f t="shared" si="14"/>
        <v>2292.0061999999998</v>
      </c>
      <c r="N34" s="173">
        <v>1.6250000000000001E-2</v>
      </c>
      <c r="O34" s="173">
        <f t="shared" si="15"/>
        <v>1.0367500000000001</v>
      </c>
      <c r="P34" s="173">
        <v>0</v>
      </c>
      <c r="Q34" s="173">
        <f t="shared" si="16"/>
        <v>0</v>
      </c>
      <c r="R34" s="173"/>
      <c r="S34" s="173"/>
      <c r="T34" s="174">
        <v>6.2E-2</v>
      </c>
      <c r="U34" s="173">
        <f t="shared" si="17"/>
        <v>3.96</v>
      </c>
      <c r="V34" s="175"/>
      <c r="W34" s="175"/>
      <c r="X34" s="175"/>
      <c r="Y34" s="175"/>
      <c r="Z34" s="175"/>
      <c r="AA34" s="175"/>
      <c r="AB34" s="175"/>
      <c r="AC34" s="175"/>
      <c r="AD34" s="175"/>
      <c r="AE34" s="175" t="s">
        <v>114</v>
      </c>
      <c r="AF34" s="175"/>
      <c r="AG34" s="175"/>
      <c r="AH34" s="175"/>
      <c r="AI34" s="175"/>
      <c r="AJ34" s="175"/>
      <c r="AK34" s="175"/>
      <c r="AL34" s="175"/>
      <c r="AM34" s="175"/>
      <c r="AN34" s="175"/>
      <c r="AO34" s="175"/>
      <c r="AP34" s="175"/>
      <c r="AQ34" s="175"/>
      <c r="AR34" s="175"/>
      <c r="AS34" s="175"/>
      <c r="AT34" s="175"/>
      <c r="AU34" s="175"/>
      <c r="AV34" s="175"/>
      <c r="AW34" s="175"/>
      <c r="AX34" s="175"/>
      <c r="AY34" s="175"/>
      <c r="AZ34" s="175"/>
      <c r="BA34" s="175"/>
      <c r="BB34" s="175"/>
      <c r="BC34" s="175"/>
      <c r="BD34" s="175"/>
      <c r="BE34" s="175"/>
      <c r="BF34" s="175"/>
      <c r="BG34" s="175"/>
      <c r="BH34" s="175"/>
    </row>
    <row r="35" spans="1:60" ht="22.5" outlineLevel="1" x14ac:dyDescent="0.3">
      <c r="A35" s="166">
        <v>22</v>
      </c>
      <c r="B35" s="167" t="s">
        <v>158</v>
      </c>
      <c r="C35" s="168" t="s">
        <v>159</v>
      </c>
      <c r="D35" s="169" t="s">
        <v>155</v>
      </c>
      <c r="E35" s="170">
        <v>20.100000000000001</v>
      </c>
      <c r="F35" s="171">
        <v>577.9</v>
      </c>
      <c r="G35" s="172">
        <v>11615.79</v>
      </c>
      <c r="H35" s="171">
        <v>365.69</v>
      </c>
      <c r="I35" s="172">
        <f t="shared" si="12"/>
        <v>7350.37</v>
      </c>
      <c r="J35" s="171">
        <v>212.21</v>
      </c>
      <c r="K35" s="172">
        <f t="shared" si="13"/>
        <v>4265.42</v>
      </c>
      <c r="L35" s="172">
        <v>21</v>
      </c>
      <c r="M35" s="172">
        <f t="shared" si="14"/>
        <v>14055.1059</v>
      </c>
      <c r="N35" s="173">
        <v>1.6250000000000001E-2</v>
      </c>
      <c r="O35" s="173">
        <f t="shared" si="15"/>
        <v>0.32662999999999998</v>
      </c>
      <c r="P35" s="173">
        <v>0</v>
      </c>
      <c r="Q35" s="173">
        <f t="shared" si="16"/>
        <v>0</v>
      </c>
      <c r="R35" s="173"/>
      <c r="S35" s="173"/>
      <c r="T35" s="174">
        <v>0.44500000000000001</v>
      </c>
      <c r="U35" s="173">
        <f t="shared" si="17"/>
        <v>8.94</v>
      </c>
      <c r="V35" s="175"/>
      <c r="W35" s="175"/>
      <c r="X35" s="175"/>
      <c r="Y35" s="175"/>
      <c r="Z35" s="175"/>
      <c r="AA35" s="175"/>
      <c r="AB35" s="175"/>
      <c r="AC35" s="175"/>
      <c r="AD35" s="175"/>
      <c r="AE35" s="175" t="s">
        <v>114</v>
      </c>
      <c r="AF35" s="175"/>
      <c r="AG35" s="175"/>
      <c r="AH35" s="175"/>
      <c r="AI35" s="175"/>
      <c r="AJ35" s="175"/>
      <c r="AK35" s="175"/>
      <c r="AL35" s="175"/>
      <c r="AM35" s="175"/>
      <c r="AN35" s="175"/>
      <c r="AO35" s="175"/>
      <c r="AP35" s="175"/>
      <c r="AQ35" s="175"/>
      <c r="AR35" s="175"/>
      <c r="AS35" s="175"/>
      <c r="AT35" s="175"/>
      <c r="AU35" s="175"/>
      <c r="AV35" s="175"/>
      <c r="AW35" s="175"/>
      <c r="AX35" s="175"/>
      <c r="AY35" s="175"/>
      <c r="AZ35" s="175"/>
      <c r="BA35" s="175"/>
      <c r="BB35" s="175"/>
      <c r="BC35" s="175"/>
      <c r="BD35" s="175"/>
      <c r="BE35" s="175"/>
      <c r="BF35" s="175"/>
      <c r="BG35" s="175"/>
      <c r="BH35" s="175"/>
    </row>
    <row r="36" spans="1:60" ht="22.5" outlineLevel="1" x14ac:dyDescent="0.3">
      <c r="A36" s="166">
        <v>23</v>
      </c>
      <c r="B36" s="167" t="s">
        <v>160</v>
      </c>
      <c r="C36" s="168" t="s">
        <v>161</v>
      </c>
      <c r="D36" s="169" t="s">
        <v>155</v>
      </c>
      <c r="E36" s="170">
        <v>83.9</v>
      </c>
      <c r="F36" s="171">
        <v>14.79</v>
      </c>
      <c r="G36" s="172">
        <v>1240.8800000000001</v>
      </c>
      <c r="H36" s="171">
        <v>0</v>
      </c>
      <c r="I36" s="172">
        <f t="shared" si="12"/>
        <v>0</v>
      </c>
      <c r="J36" s="171">
        <v>14.79</v>
      </c>
      <c r="K36" s="172">
        <f t="shared" si="13"/>
        <v>1240.8800000000001</v>
      </c>
      <c r="L36" s="172">
        <v>21</v>
      </c>
      <c r="M36" s="172">
        <f t="shared" si="14"/>
        <v>1501.4648000000002</v>
      </c>
      <c r="N36" s="173">
        <v>0</v>
      </c>
      <c r="O36" s="173">
        <f t="shared" si="15"/>
        <v>0</v>
      </c>
      <c r="P36" s="173">
        <v>0</v>
      </c>
      <c r="Q36" s="173">
        <f t="shared" si="16"/>
        <v>0</v>
      </c>
      <c r="R36" s="173"/>
      <c r="S36" s="173"/>
      <c r="T36" s="174">
        <v>3.1E-2</v>
      </c>
      <c r="U36" s="173">
        <f t="shared" si="17"/>
        <v>2.6</v>
      </c>
      <c r="V36" s="175"/>
      <c r="W36" s="175"/>
      <c r="X36" s="175"/>
      <c r="Y36" s="175"/>
      <c r="Z36" s="175"/>
      <c r="AA36" s="175"/>
      <c r="AB36" s="175"/>
      <c r="AC36" s="175"/>
      <c r="AD36" s="175"/>
      <c r="AE36" s="175" t="s">
        <v>114</v>
      </c>
      <c r="AF36" s="175"/>
      <c r="AG36" s="175"/>
      <c r="AH36" s="175"/>
      <c r="AI36" s="175"/>
      <c r="AJ36" s="175"/>
      <c r="AK36" s="175"/>
      <c r="AL36" s="175"/>
      <c r="AM36" s="175"/>
      <c r="AN36" s="175"/>
      <c r="AO36" s="175"/>
      <c r="AP36" s="175"/>
      <c r="AQ36" s="175"/>
      <c r="AR36" s="175"/>
      <c r="AS36" s="175"/>
      <c r="AT36" s="175"/>
      <c r="AU36" s="175"/>
      <c r="AV36" s="175"/>
      <c r="AW36" s="175"/>
      <c r="AX36" s="175"/>
      <c r="AY36" s="175"/>
      <c r="AZ36" s="175"/>
      <c r="BA36" s="175"/>
      <c r="BB36" s="175"/>
      <c r="BC36" s="175"/>
      <c r="BD36" s="175"/>
      <c r="BE36" s="175"/>
      <c r="BF36" s="175"/>
      <c r="BG36" s="175"/>
      <c r="BH36" s="175"/>
    </row>
    <row r="37" spans="1:60" outlineLevel="1" x14ac:dyDescent="0.3">
      <c r="A37" s="166">
        <v>24</v>
      </c>
      <c r="B37" s="167" t="s">
        <v>162</v>
      </c>
      <c r="C37" s="168" t="s">
        <v>163</v>
      </c>
      <c r="D37" s="169" t="s">
        <v>113</v>
      </c>
      <c r="E37" s="170">
        <v>19</v>
      </c>
      <c r="F37" s="171">
        <v>29.69</v>
      </c>
      <c r="G37" s="172">
        <v>564.11</v>
      </c>
      <c r="H37" s="171">
        <v>0</v>
      </c>
      <c r="I37" s="172">
        <f t="shared" si="12"/>
        <v>0</v>
      </c>
      <c r="J37" s="171">
        <v>29.69</v>
      </c>
      <c r="K37" s="172">
        <f t="shared" si="13"/>
        <v>564.11</v>
      </c>
      <c r="L37" s="172">
        <v>21</v>
      </c>
      <c r="M37" s="172">
        <f t="shared" si="14"/>
        <v>682.57309999999995</v>
      </c>
      <c r="N37" s="173">
        <v>0</v>
      </c>
      <c r="O37" s="173">
        <f t="shared" si="15"/>
        <v>0</v>
      </c>
      <c r="P37" s="173">
        <v>0</v>
      </c>
      <c r="Q37" s="173">
        <f t="shared" si="16"/>
        <v>0</v>
      </c>
      <c r="R37" s="173"/>
      <c r="S37" s="173"/>
      <c r="T37" s="174">
        <v>6.2E-2</v>
      </c>
      <c r="U37" s="173">
        <f t="shared" si="17"/>
        <v>1.18</v>
      </c>
      <c r="V37" s="175"/>
      <c r="W37" s="175"/>
      <c r="X37" s="175"/>
      <c r="Y37" s="175"/>
      <c r="Z37" s="175"/>
      <c r="AA37" s="175"/>
      <c r="AB37" s="175"/>
      <c r="AC37" s="175"/>
      <c r="AD37" s="175"/>
      <c r="AE37" s="175" t="s">
        <v>114</v>
      </c>
      <c r="AF37" s="175"/>
      <c r="AG37" s="175"/>
      <c r="AH37" s="175"/>
      <c r="AI37" s="175"/>
      <c r="AJ37" s="175"/>
      <c r="AK37" s="175"/>
      <c r="AL37" s="175"/>
      <c r="AM37" s="175"/>
      <c r="AN37" s="175"/>
      <c r="AO37" s="175"/>
      <c r="AP37" s="175"/>
      <c r="AQ37" s="175"/>
      <c r="AR37" s="175"/>
      <c r="AS37" s="175"/>
      <c r="AT37" s="175"/>
      <c r="AU37" s="175"/>
      <c r="AV37" s="175"/>
      <c r="AW37" s="175"/>
      <c r="AX37" s="175"/>
      <c r="AY37" s="175"/>
      <c r="AZ37" s="175"/>
      <c r="BA37" s="175"/>
      <c r="BB37" s="175"/>
      <c r="BC37" s="175"/>
      <c r="BD37" s="175"/>
      <c r="BE37" s="175"/>
      <c r="BF37" s="175"/>
      <c r="BG37" s="175"/>
      <c r="BH37" s="175"/>
    </row>
    <row r="38" spans="1:60" outlineLevel="1" x14ac:dyDescent="0.3">
      <c r="A38" s="166">
        <v>25</v>
      </c>
      <c r="B38" s="167" t="s">
        <v>164</v>
      </c>
      <c r="C38" s="168" t="s">
        <v>165</v>
      </c>
      <c r="D38" s="169" t="s">
        <v>155</v>
      </c>
      <c r="E38" s="170">
        <v>83.9</v>
      </c>
      <c r="F38" s="171">
        <v>64.05</v>
      </c>
      <c r="G38" s="172">
        <v>5373.8</v>
      </c>
      <c r="H38" s="171">
        <v>0</v>
      </c>
      <c r="I38" s="172">
        <f t="shared" si="12"/>
        <v>0</v>
      </c>
      <c r="J38" s="171">
        <v>64.05</v>
      </c>
      <c r="K38" s="172">
        <f t="shared" si="13"/>
        <v>5373.8</v>
      </c>
      <c r="L38" s="172">
        <v>21</v>
      </c>
      <c r="M38" s="172">
        <f t="shared" si="14"/>
        <v>6502.2979999999998</v>
      </c>
      <c r="N38" s="173">
        <v>0</v>
      </c>
      <c r="O38" s="173">
        <f t="shared" si="15"/>
        <v>0</v>
      </c>
      <c r="P38" s="173">
        <v>0</v>
      </c>
      <c r="Q38" s="173">
        <f t="shared" si="16"/>
        <v>0</v>
      </c>
      <c r="R38" s="173"/>
      <c r="S38" s="173"/>
      <c r="T38" s="174">
        <v>0.13400000000000001</v>
      </c>
      <c r="U38" s="173">
        <f t="shared" si="17"/>
        <v>11.24</v>
      </c>
      <c r="V38" s="175"/>
      <c r="W38" s="175"/>
      <c r="X38" s="175"/>
      <c r="Y38" s="175"/>
      <c r="Z38" s="175"/>
      <c r="AA38" s="175"/>
      <c r="AB38" s="175"/>
      <c r="AC38" s="175"/>
      <c r="AD38" s="175"/>
      <c r="AE38" s="175" t="s">
        <v>114</v>
      </c>
      <c r="AF38" s="175"/>
      <c r="AG38" s="175"/>
      <c r="AH38" s="175"/>
      <c r="AI38" s="175"/>
      <c r="AJ38" s="175"/>
      <c r="AK38" s="175"/>
      <c r="AL38" s="175"/>
      <c r="AM38" s="175"/>
      <c r="AN38" s="175"/>
      <c r="AO38" s="175"/>
      <c r="AP38" s="175"/>
      <c r="AQ38" s="175"/>
      <c r="AR38" s="175"/>
      <c r="AS38" s="175"/>
      <c r="AT38" s="175"/>
      <c r="AU38" s="175"/>
      <c r="AV38" s="175"/>
      <c r="AW38" s="175"/>
      <c r="AX38" s="175"/>
      <c r="AY38" s="175"/>
      <c r="AZ38" s="175"/>
      <c r="BA38" s="175"/>
      <c r="BB38" s="175"/>
      <c r="BC38" s="175"/>
      <c r="BD38" s="175"/>
      <c r="BE38" s="175"/>
      <c r="BF38" s="175"/>
      <c r="BG38" s="175"/>
      <c r="BH38" s="175"/>
    </row>
    <row r="39" spans="1:60" ht="22.5" outlineLevel="1" x14ac:dyDescent="0.3">
      <c r="A39" s="166">
        <v>26</v>
      </c>
      <c r="B39" s="167" t="s">
        <v>166</v>
      </c>
      <c r="C39" s="168" t="s">
        <v>167</v>
      </c>
      <c r="D39" s="169" t="s">
        <v>113</v>
      </c>
      <c r="E39" s="170">
        <v>19</v>
      </c>
      <c r="F39" s="171">
        <v>146.75</v>
      </c>
      <c r="G39" s="172">
        <v>2788.25</v>
      </c>
      <c r="H39" s="171">
        <v>0</v>
      </c>
      <c r="I39" s="172">
        <f t="shared" si="12"/>
        <v>0</v>
      </c>
      <c r="J39" s="171">
        <v>146.75</v>
      </c>
      <c r="K39" s="172">
        <f t="shared" si="13"/>
        <v>2788.25</v>
      </c>
      <c r="L39" s="172">
        <v>21</v>
      </c>
      <c r="M39" s="172">
        <f t="shared" si="14"/>
        <v>3373.7824999999998</v>
      </c>
      <c r="N39" s="173">
        <v>0</v>
      </c>
      <c r="O39" s="173">
        <f t="shared" si="15"/>
        <v>0</v>
      </c>
      <c r="P39" s="173">
        <v>0</v>
      </c>
      <c r="Q39" s="173">
        <f t="shared" si="16"/>
        <v>0</v>
      </c>
      <c r="R39" s="173"/>
      <c r="S39" s="173"/>
      <c r="T39" s="174">
        <v>0.26800000000000002</v>
      </c>
      <c r="U39" s="173">
        <f t="shared" si="17"/>
        <v>5.09</v>
      </c>
      <c r="V39" s="175"/>
      <c r="W39" s="175"/>
      <c r="X39" s="175"/>
      <c r="Y39" s="175"/>
      <c r="Z39" s="175"/>
      <c r="AA39" s="175"/>
      <c r="AB39" s="175"/>
      <c r="AC39" s="175"/>
      <c r="AD39" s="175"/>
      <c r="AE39" s="175" t="s">
        <v>114</v>
      </c>
      <c r="AF39" s="175"/>
      <c r="AG39" s="175"/>
      <c r="AH39" s="175"/>
      <c r="AI39" s="175"/>
      <c r="AJ39" s="175"/>
      <c r="AK39" s="175"/>
      <c r="AL39" s="175"/>
      <c r="AM39" s="175"/>
      <c r="AN39" s="175"/>
      <c r="AO39" s="175"/>
      <c r="AP39" s="175"/>
      <c r="AQ39" s="175"/>
      <c r="AR39" s="175"/>
      <c r="AS39" s="175"/>
      <c r="AT39" s="175"/>
      <c r="AU39" s="175"/>
      <c r="AV39" s="175"/>
      <c r="AW39" s="175"/>
      <c r="AX39" s="175"/>
      <c r="AY39" s="175"/>
      <c r="AZ39" s="175"/>
      <c r="BA39" s="175"/>
      <c r="BB39" s="175"/>
      <c r="BC39" s="175"/>
      <c r="BD39" s="175"/>
      <c r="BE39" s="175"/>
      <c r="BF39" s="175"/>
      <c r="BG39" s="175"/>
      <c r="BH39" s="175"/>
    </row>
    <row r="40" spans="1:60" ht="22.5" outlineLevel="1" x14ac:dyDescent="0.3">
      <c r="A40" s="166">
        <v>27</v>
      </c>
      <c r="B40" s="167" t="s">
        <v>168</v>
      </c>
      <c r="C40" s="168" t="s">
        <v>169</v>
      </c>
      <c r="D40" s="169" t="s">
        <v>119</v>
      </c>
      <c r="E40" s="170">
        <v>0.32741999999999999</v>
      </c>
      <c r="F40" s="171">
        <v>1274.1099999999999</v>
      </c>
      <c r="G40" s="172">
        <v>416.63</v>
      </c>
      <c r="H40" s="171">
        <v>0</v>
      </c>
      <c r="I40" s="172">
        <f t="shared" si="12"/>
        <v>0</v>
      </c>
      <c r="J40" s="171">
        <v>1274.1099999999999</v>
      </c>
      <c r="K40" s="172">
        <f t="shared" si="13"/>
        <v>417.17</v>
      </c>
      <c r="L40" s="172">
        <v>21</v>
      </c>
      <c r="M40" s="172">
        <f t="shared" si="14"/>
        <v>504.1223</v>
      </c>
      <c r="N40" s="173">
        <v>0</v>
      </c>
      <c r="O40" s="173">
        <f t="shared" si="15"/>
        <v>0</v>
      </c>
      <c r="P40" s="173">
        <v>0</v>
      </c>
      <c r="Q40" s="173">
        <f t="shared" si="16"/>
        <v>0</v>
      </c>
      <c r="R40" s="173"/>
      <c r="S40" s="173"/>
      <c r="T40" s="174">
        <v>3.0750000000000002</v>
      </c>
      <c r="U40" s="173">
        <f t="shared" si="17"/>
        <v>1.01</v>
      </c>
      <c r="V40" s="175"/>
      <c r="W40" s="175"/>
      <c r="X40" s="175"/>
      <c r="Y40" s="175"/>
      <c r="Z40" s="175"/>
      <c r="AA40" s="175"/>
      <c r="AB40" s="175"/>
      <c r="AC40" s="175"/>
      <c r="AD40" s="175"/>
      <c r="AE40" s="175" t="s">
        <v>114</v>
      </c>
      <c r="AF40" s="175"/>
      <c r="AG40" s="175"/>
      <c r="AH40" s="175"/>
      <c r="AI40" s="175"/>
      <c r="AJ40" s="175"/>
      <c r="AK40" s="175"/>
      <c r="AL40" s="175"/>
      <c r="AM40" s="175"/>
      <c r="AN40" s="175"/>
      <c r="AO40" s="175"/>
      <c r="AP40" s="175"/>
      <c r="AQ40" s="175"/>
      <c r="AR40" s="175"/>
      <c r="AS40" s="175"/>
      <c r="AT40" s="175"/>
      <c r="AU40" s="175"/>
      <c r="AV40" s="175"/>
      <c r="AW40" s="175"/>
      <c r="AX40" s="175"/>
      <c r="AY40" s="175"/>
      <c r="AZ40" s="175"/>
      <c r="BA40" s="175"/>
      <c r="BB40" s="175"/>
      <c r="BC40" s="175"/>
      <c r="BD40" s="175"/>
      <c r="BE40" s="175"/>
      <c r="BF40" s="175"/>
      <c r="BG40" s="175"/>
      <c r="BH40" s="175"/>
    </row>
    <row r="41" spans="1:60" outlineLevel="1" x14ac:dyDescent="0.3">
      <c r="A41" s="166">
        <v>28</v>
      </c>
      <c r="B41" s="167" t="s">
        <v>170</v>
      </c>
      <c r="C41" s="168" t="s">
        <v>171</v>
      </c>
      <c r="D41" s="169" t="s">
        <v>155</v>
      </c>
      <c r="E41" s="170">
        <v>81.3</v>
      </c>
      <c r="F41" s="171">
        <v>24.87</v>
      </c>
      <c r="G41" s="172">
        <v>2021.93</v>
      </c>
      <c r="H41" s="171">
        <v>0</v>
      </c>
      <c r="I41" s="172">
        <f t="shared" si="12"/>
        <v>0</v>
      </c>
      <c r="J41" s="171">
        <v>24.87</v>
      </c>
      <c r="K41" s="172">
        <f t="shared" si="13"/>
        <v>2021.93</v>
      </c>
      <c r="L41" s="172">
        <v>21</v>
      </c>
      <c r="M41" s="172">
        <f t="shared" si="14"/>
        <v>2446.5353</v>
      </c>
      <c r="N41" s="173">
        <v>0</v>
      </c>
      <c r="O41" s="173">
        <f t="shared" si="15"/>
        <v>0</v>
      </c>
      <c r="P41" s="173">
        <v>0</v>
      </c>
      <c r="Q41" s="173">
        <f t="shared" si="16"/>
        <v>0</v>
      </c>
      <c r="R41" s="173"/>
      <c r="S41" s="173"/>
      <c r="T41" s="174">
        <v>5.1999999999999998E-2</v>
      </c>
      <c r="U41" s="173">
        <f t="shared" si="17"/>
        <v>4.2300000000000004</v>
      </c>
      <c r="V41" s="175"/>
      <c r="W41" s="175"/>
      <c r="X41" s="175"/>
      <c r="Y41" s="175"/>
      <c r="Z41" s="175"/>
      <c r="AA41" s="175"/>
      <c r="AB41" s="175"/>
      <c r="AC41" s="175"/>
      <c r="AD41" s="175"/>
      <c r="AE41" s="175" t="s">
        <v>114</v>
      </c>
      <c r="AF41" s="175"/>
      <c r="AG41" s="175"/>
      <c r="AH41" s="175"/>
      <c r="AI41" s="175"/>
      <c r="AJ41" s="175"/>
      <c r="AK41" s="175"/>
      <c r="AL41" s="175"/>
      <c r="AM41" s="175"/>
      <c r="AN41" s="175"/>
      <c r="AO41" s="175"/>
      <c r="AP41" s="175"/>
      <c r="AQ41" s="175"/>
      <c r="AR41" s="175"/>
      <c r="AS41" s="175"/>
      <c r="AT41" s="175"/>
      <c r="AU41" s="175"/>
      <c r="AV41" s="175"/>
      <c r="AW41" s="175"/>
      <c r="AX41" s="175"/>
      <c r="AY41" s="175"/>
      <c r="AZ41" s="175"/>
      <c r="BA41" s="175"/>
      <c r="BB41" s="175"/>
      <c r="BC41" s="175"/>
      <c r="BD41" s="175"/>
      <c r="BE41" s="175"/>
      <c r="BF41" s="175"/>
      <c r="BG41" s="175"/>
      <c r="BH41" s="175"/>
    </row>
    <row r="42" spans="1:60" ht="22.5" outlineLevel="1" x14ac:dyDescent="0.3">
      <c r="A42" s="166">
        <v>29</v>
      </c>
      <c r="B42" s="167" t="s">
        <v>172</v>
      </c>
      <c r="C42" s="168" t="s">
        <v>173</v>
      </c>
      <c r="D42" s="169" t="s">
        <v>155</v>
      </c>
      <c r="E42" s="170">
        <v>81.3</v>
      </c>
      <c r="F42" s="171">
        <v>39.25</v>
      </c>
      <c r="G42" s="172">
        <v>3191.03</v>
      </c>
      <c r="H42" s="171">
        <v>0</v>
      </c>
      <c r="I42" s="172">
        <f t="shared" si="12"/>
        <v>0</v>
      </c>
      <c r="J42" s="171">
        <v>39.25</v>
      </c>
      <c r="K42" s="172">
        <f t="shared" si="13"/>
        <v>3191.03</v>
      </c>
      <c r="L42" s="172">
        <v>21</v>
      </c>
      <c r="M42" s="172">
        <f t="shared" si="14"/>
        <v>3861.1463000000003</v>
      </c>
      <c r="N42" s="173">
        <v>0</v>
      </c>
      <c r="O42" s="173">
        <f t="shared" si="15"/>
        <v>0</v>
      </c>
      <c r="P42" s="173">
        <v>2.3800000000000002E-2</v>
      </c>
      <c r="Q42" s="173">
        <f t="shared" si="16"/>
        <v>1.9349400000000001</v>
      </c>
      <c r="R42" s="173"/>
      <c r="S42" s="173"/>
      <c r="T42" s="174">
        <v>8.2000000000000003E-2</v>
      </c>
      <c r="U42" s="173">
        <f t="shared" si="17"/>
        <v>6.67</v>
      </c>
      <c r="V42" s="175"/>
      <c r="W42" s="175"/>
      <c r="X42" s="175"/>
      <c r="Y42" s="175"/>
      <c r="Z42" s="175"/>
      <c r="AA42" s="175"/>
      <c r="AB42" s="175"/>
      <c r="AC42" s="175"/>
      <c r="AD42" s="175"/>
      <c r="AE42" s="175" t="s">
        <v>114</v>
      </c>
      <c r="AF42" s="175"/>
      <c r="AG42" s="175"/>
      <c r="AH42" s="175"/>
      <c r="AI42" s="175"/>
      <c r="AJ42" s="175"/>
      <c r="AK42" s="175"/>
      <c r="AL42" s="175"/>
      <c r="AM42" s="175"/>
      <c r="AN42" s="175"/>
      <c r="AO42" s="175"/>
      <c r="AP42" s="175"/>
      <c r="AQ42" s="175"/>
      <c r="AR42" s="175"/>
      <c r="AS42" s="175"/>
      <c r="AT42" s="175"/>
      <c r="AU42" s="175"/>
      <c r="AV42" s="175"/>
      <c r="AW42" s="175"/>
      <c r="AX42" s="175"/>
      <c r="AY42" s="175"/>
      <c r="AZ42" s="175"/>
      <c r="BA42" s="175"/>
      <c r="BB42" s="175"/>
      <c r="BC42" s="175"/>
      <c r="BD42" s="175"/>
      <c r="BE42" s="175"/>
      <c r="BF42" s="175"/>
      <c r="BG42" s="175"/>
      <c r="BH42" s="175"/>
    </row>
    <row r="43" spans="1:60" outlineLevel="1" x14ac:dyDescent="0.3">
      <c r="A43" s="166">
        <v>30</v>
      </c>
      <c r="B43" s="167" t="s">
        <v>174</v>
      </c>
      <c r="C43" s="168" t="s">
        <v>175</v>
      </c>
      <c r="D43" s="169" t="s">
        <v>113</v>
      </c>
      <c r="E43" s="170">
        <v>19</v>
      </c>
      <c r="F43" s="171">
        <v>14.56</v>
      </c>
      <c r="G43" s="172">
        <v>276.64</v>
      </c>
      <c r="H43" s="171">
        <v>0.67</v>
      </c>
      <c r="I43" s="172">
        <f t="shared" si="12"/>
        <v>12.73</v>
      </c>
      <c r="J43" s="171">
        <v>13.89</v>
      </c>
      <c r="K43" s="172">
        <f t="shared" si="13"/>
        <v>263.91000000000003</v>
      </c>
      <c r="L43" s="172">
        <v>21</v>
      </c>
      <c r="M43" s="172">
        <f t="shared" si="14"/>
        <v>334.73439999999999</v>
      </c>
      <c r="N43" s="173">
        <v>1.0000000000000001E-5</v>
      </c>
      <c r="O43" s="173">
        <f t="shared" si="15"/>
        <v>1.9000000000000001E-4</v>
      </c>
      <c r="P43" s="173">
        <v>7.5000000000000002E-4</v>
      </c>
      <c r="Q43" s="173">
        <f t="shared" si="16"/>
        <v>1.4250000000000001E-2</v>
      </c>
      <c r="R43" s="173"/>
      <c r="S43" s="173"/>
      <c r="T43" s="174">
        <v>2.9000000000000001E-2</v>
      </c>
      <c r="U43" s="173">
        <f t="shared" si="17"/>
        <v>0.55000000000000004</v>
      </c>
      <c r="V43" s="175"/>
      <c r="W43" s="175"/>
      <c r="X43" s="175"/>
      <c r="Y43" s="175"/>
      <c r="Z43" s="175"/>
      <c r="AA43" s="175"/>
      <c r="AB43" s="175"/>
      <c r="AC43" s="175"/>
      <c r="AD43" s="175"/>
      <c r="AE43" s="175" t="s">
        <v>114</v>
      </c>
      <c r="AF43" s="175"/>
      <c r="AG43" s="175"/>
      <c r="AH43" s="175"/>
      <c r="AI43" s="175"/>
      <c r="AJ43" s="175"/>
      <c r="AK43" s="175"/>
      <c r="AL43" s="175"/>
      <c r="AM43" s="175"/>
      <c r="AN43" s="175"/>
      <c r="AO43" s="175"/>
      <c r="AP43" s="175"/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5"/>
      <c r="BC43" s="175"/>
      <c r="BD43" s="175"/>
      <c r="BE43" s="175"/>
      <c r="BF43" s="175"/>
      <c r="BG43" s="175"/>
      <c r="BH43" s="175"/>
    </row>
    <row r="44" spans="1:60" ht="22.5" outlineLevel="1" x14ac:dyDescent="0.3">
      <c r="A44" s="166">
        <v>31</v>
      </c>
      <c r="B44" s="167" t="s">
        <v>176</v>
      </c>
      <c r="C44" s="168" t="s">
        <v>177</v>
      </c>
      <c r="D44" s="169" t="s">
        <v>119</v>
      </c>
      <c r="E44" s="170">
        <v>1.94919</v>
      </c>
      <c r="F44" s="171">
        <v>1319.62</v>
      </c>
      <c r="G44" s="172">
        <v>2571.94</v>
      </c>
      <c r="H44" s="171">
        <v>0</v>
      </c>
      <c r="I44" s="172">
        <f t="shared" si="12"/>
        <v>0</v>
      </c>
      <c r="J44" s="171">
        <v>1319.62</v>
      </c>
      <c r="K44" s="172">
        <f t="shared" si="13"/>
        <v>2572.19</v>
      </c>
      <c r="L44" s="172">
        <v>21</v>
      </c>
      <c r="M44" s="172">
        <f t="shared" si="14"/>
        <v>3112.0473999999999</v>
      </c>
      <c r="N44" s="173">
        <v>0</v>
      </c>
      <c r="O44" s="173">
        <f t="shared" si="15"/>
        <v>0</v>
      </c>
      <c r="P44" s="173">
        <v>0</v>
      </c>
      <c r="Q44" s="173">
        <f t="shared" si="16"/>
        <v>0</v>
      </c>
      <c r="R44" s="173"/>
      <c r="S44" s="173"/>
      <c r="T44" s="174">
        <v>3.0739999999999998</v>
      </c>
      <c r="U44" s="173">
        <f t="shared" si="17"/>
        <v>5.99</v>
      </c>
      <c r="V44" s="175"/>
      <c r="W44" s="175"/>
      <c r="X44" s="175"/>
      <c r="Y44" s="175"/>
      <c r="Z44" s="175"/>
      <c r="AA44" s="175"/>
      <c r="AB44" s="175"/>
      <c r="AC44" s="175"/>
      <c r="AD44" s="175"/>
      <c r="AE44" s="175" t="s">
        <v>114</v>
      </c>
      <c r="AF44" s="175"/>
      <c r="AG44" s="175"/>
      <c r="AH44" s="175"/>
      <c r="AI44" s="175"/>
      <c r="AJ44" s="175"/>
      <c r="AK44" s="175"/>
      <c r="AL44" s="175"/>
      <c r="AM44" s="175"/>
      <c r="AN44" s="175"/>
      <c r="AO44" s="175"/>
      <c r="AP44" s="175"/>
      <c r="AQ44" s="175"/>
      <c r="AR44" s="175"/>
      <c r="AS44" s="175"/>
      <c r="AT44" s="175"/>
      <c r="AU44" s="175"/>
      <c r="AV44" s="175"/>
      <c r="AW44" s="175"/>
      <c r="AX44" s="175"/>
      <c r="AY44" s="175"/>
      <c r="AZ44" s="175"/>
      <c r="BA44" s="175"/>
      <c r="BB44" s="175"/>
      <c r="BC44" s="175"/>
      <c r="BD44" s="175"/>
      <c r="BE44" s="175"/>
      <c r="BF44" s="175"/>
      <c r="BG44" s="175"/>
      <c r="BH44" s="175"/>
    </row>
    <row r="45" spans="1:60" x14ac:dyDescent="0.3">
      <c r="A45" s="176" t="s">
        <v>109</v>
      </c>
      <c r="B45" s="177" t="s">
        <v>78</v>
      </c>
      <c r="C45" s="178" t="s">
        <v>79</v>
      </c>
      <c r="D45" s="179"/>
      <c r="E45" s="180"/>
      <c r="F45" s="181"/>
      <c r="G45" s="181">
        <f>SUMIF(AE46:AE48,"&lt;&gt;NOR",G46:G48)</f>
        <v>74533.25</v>
      </c>
      <c r="H45" s="181"/>
      <c r="I45" s="181">
        <f>SUM(I46:I48)</f>
        <v>0</v>
      </c>
      <c r="J45" s="181"/>
      <c r="K45" s="181">
        <f>SUM(K46:K48)</f>
        <v>74533.25</v>
      </c>
      <c r="L45" s="181"/>
      <c r="M45" s="181">
        <f>SUM(M46:M48)</f>
        <v>90185.232499999998</v>
      </c>
      <c r="N45" s="182"/>
      <c r="O45" s="182">
        <f>SUM(O46:O48)</f>
        <v>4.9149999999999999E-2</v>
      </c>
      <c r="P45" s="182"/>
      <c r="Q45" s="182">
        <f>SUM(Q46:Q48)</f>
        <v>0</v>
      </c>
      <c r="R45" s="182"/>
      <c r="S45" s="182"/>
      <c r="T45" s="183"/>
      <c r="U45" s="182">
        <f>SUM(U46:U48)</f>
        <v>30.020000000000003</v>
      </c>
      <c r="AE45" t="s">
        <v>110</v>
      </c>
    </row>
    <row r="46" spans="1:60" ht="22.5" outlineLevel="1" x14ac:dyDescent="0.3">
      <c r="A46" s="166">
        <v>32</v>
      </c>
      <c r="B46" s="167" t="s">
        <v>178</v>
      </c>
      <c r="C46" s="168" t="s">
        <v>179</v>
      </c>
      <c r="D46" s="169" t="s">
        <v>155</v>
      </c>
      <c r="E46" s="170">
        <v>83.9</v>
      </c>
      <c r="F46" s="171">
        <v>518.74</v>
      </c>
      <c r="G46" s="172">
        <v>43522.29</v>
      </c>
      <c r="H46" s="171">
        <v>0</v>
      </c>
      <c r="I46" s="172">
        <f>ROUND(E46*H46,2)</f>
        <v>0</v>
      </c>
      <c r="J46" s="171">
        <v>518.74</v>
      </c>
      <c r="K46" s="172">
        <f>ROUND(E46*J46,2)</f>
        <v>43522.29</v>
      </c>
      <c r="L46" s="172">
        <v>21</v>
      </c>
      <c r="M46" s="172">
        <f>G46*(1+L46/100)</f>
        <v>52661.9709</v>
      </c>
      <c r="N46" s="173">
        <v>4.8999999999999998E-4</v>
      </c>
      <c r="O46" s="173">
        <f>ROUND(E46*N46,5)</f>
        <v>4.1110000000000001E-2</v>
      </c>
      <c r="P46" s="173">
        <v>0</v>
      </c>
      <c r="Q46" s="173">
        <f>ROUND(E46*P46,5)</f>
        <v>0</v>
      </c>
      <c r="R46" s="173"/>
      <c r="S46" s="173"/>
      <c r="T46" s="174">
        <v>0.24299999999999999</v>
      </c>
      <c r="U46" s="173">
        <f>ROUND(E46*T46,2)</f>
        <v>20.39</v>
      </c>
      <c r="V46" s="175"/>
      <c r="W46" s="175"/>
      <c r="X46" s="175"/>
      <c r="Y46" s="175"/>
      <c r="Z46" s="175"/>
      <c r="AA46" s="175"/>
      <c r="AB46" s="175"/>
      <c r="AC46" s="175"/>
      <c r="AD46" s="175"/>
      <c r="AE46" s="175" t="s">
        <v>114</v>
      </c>
      <c r="AF46" s="175"/>
      <c r="AG46" s="175"/>
      <c r="AH46" s="175"/>
      <c r="AI46" s="175"/>
      <c r="AJ46" s="175"/>
      <c r="AK46" s="175"/>
      <c r="AL46" s="175"/>
      <c r="AM46" s="175"/>
      <c r="AN46" s="175"/>
      <c r="AO46" s="175"/>
      <c r="AP46" s="175"/>
      <c r="AQ46" s="175"/>
      <c r="AR46" s="175"/>
      <c r="AS46" s="175"/>
      <c r="AT46" s="175"/>
      <c r="AU46" s="175"/>
      <c r="AV46" s="175"/>
      <c r="AW46" s="175"/>
      <c r="AX46" s="175"/>
      <c r="AY46" s="175"/>
      <c r="AZ46" s="175"/>
      <c r="BA46" s="175"/>
      <c r="BB46" s="175"/>
      <c r="BC46" s="175"/>
      <c r="BD46" s="175"/>
      <c r="BE46" s="175"/>
      <c r="BF46" s="175"/>
      <c r="BG46" s="175"/>
      <c r="BH46" s="175"/>
    </row>
    <row r="47" spans="1:60" ht="22.5" outlineLevel="1" x14ac:dyDescent="0.3">
      <c r="A47" s="166">
        <v>33</v>
      </c>
      <c r="B47" s="167" t="s">
        <v>180</v>
      </c>
      <c r="C47" s="168" t="s">
        <v>181</v>
      </c>
      <c r="D47" s="169" t="s">
        <v>124</v>
      </c>
      <c r="E47" s="170">
        <v>96</v>
      </c>
      <c r="F47" s="171">
        <v>278.70999999999998</v>
      </c>
      <c r="G47" s="172">
        <v>26756.16</v>
      </c>
      <c r="H47" s="171">
        <v>0</v>
      </c>
      <c r="I47" s="172">
        <f>ROUND(E47*H47,2)</f>
        <v>0</v>
      </c>
      <c r="J47" s="171">
        <v>278.70999999999998</v>
      </c>
      <c r="K47" s="172">
        <f>ROUND(E47*J47,2)</f>
        <v>26756.16</v>
      </c>
      <c r="L47" s="172">
        <v>21</v>
      </c>
      <c r="M47" s="172">
        <f>G47*(1+L47/100)</f>
        <v>32374.953599999997</v>
      </c>
      <c r="N47" s="173">
        <v>6.9999999999999994E-5</v>
      </c>
      <c r="O47" s="173">
        <f>ROUND(E47*N47,5)</f>
        <v>6.7200000000000003E-3</v>
      </c>
      <c r="P47" s="173">
        <v>0</v>
      </c>
      <c r="Q47" s="173">
        <f>ROUND(E47*P47,5)</f>
        <v>0</v>
      </c>
      <c r="R47" s="173"/>
      <c r="S47" s="173"/>
      <c r="T47" s="174">
        <v>8.6999999999999994E-2</v>
      </c>
      <c r="U47" s="173">
        <f>ROUND(E47*T47,2)</f>
        <v>8.35</v>
      </c>
      <c r="V47" s="175"/>
      <c r="W47" s="175"/>
      <c r="X47" s="175"/>
      <c r="Y47" s="175"/>
      <c r="Z47" s="175"/>
      <c r="AA47" s="175"/>
      <c r="AB47" s="175"/>
      <c r="AC47" s="175"/>
      <c r="AD47" s="175"/>
      <c r="AE47" s="175" t="s">
        <v>114</v>
      </c>
      <c r="AF47" s="175"/>
      <c r="AG47" s="175"/>
      <c r="AH47" s="175"/>
      <c r="AI47" s="175"/>
      <c r="AJ47" s="175"/>
      <c r="AK47" s="175"/>
      <c r="AL47" s="175"/>
      <c r="AM47" s="175"/>
      <c r="AN47" s="175"/>
      <c r="AO47" s="175"/>
      <c r="AP47" s="175"/>
      <c r="AQ47" s="175"/>
      <c r="AR47" s="175"/>
      <c r="AS47" s="175"/>
      <c r="AT47" s="175"/>
      <c r="AU47" s="175"/>
      <c r="AV47" s="175"/>
      <c r="AW47" s="175"/>
      <c r="AX47" s="175"/>
      <c r="AY47" s="175"/>
      <c r="AZ47" s="175"/>
      <c r="BA47" s="175"/>
      <c r="BB47" s="175"/>
      <c r="BC47" s="175"/>
      <c r="BD47" s="175"/>
      <c r="BE47" s="175"/>
      <c r="BF47" s="175"/>
      <c r="BG47" s="175"/>
      <c r="BH47" s="175"/>
    </row>
    <row r="48" spans="1:60" ht="22.5" outlineLevel="1" x14ac:dyDescent="0.3">
      <c r="A48" s="166">
        <v>34</v>
      </c>
      <c r="B48" s="167" t="s">
        <v>182</v>
      </c>
      <c r="C48" s="168" t="s">
        <v>183</v>
      </c>
      <c r="D48" s="169" t="s">
        <v>124</v>
      </c>
      <c r="E48" s="170">
        <v>44</v>
      </c>
      <c r="F48" s="171">
        <v>96.7</v>
      </c>
      <c r="G48" s="172">
        <v>4254.8</v>
      </c>
      <c r="H48" s="171">
        <v>0</v>
      </c>
      <c r="I48" s="172">
        <f>ROUND(E48*H48,2)</f>
        <v>0</v>
      </c>
      <c r="J48" s="171">
        <v>96.7</v>
      </c>
      <c r="K48" s="172">
        <f>ROUND(E48*J48,2)</f>
        <v>4254.8</v>
      </c>
      <c r="L48" s="172">
        <v>21</v>
      </c>
      <c r="M48" s="172">
        <f>G48*(1+L48/100)</f>
        <v>5148.308</v>
      </c>
      <c r="N48" s="173">
        <v>3.0000000000000001E-5</v>
      </c>
      <c r="O48" s="173">
        <f>ROUND(E48*N48,5)</f>
        <v>1.32E-3</v>
      </c>
      <c r="P48" s="173">
        <v>0</v>
      </c>
      <c r="Q48" s="173">
        <f>ROUND(E48*P48,5)</f>
        <v>0</v>
      </c>
      <c r="R48" s="173"/>
      <c r="S48" s="173"/>
      <c r="T48" s="174">
        <v>2.9000000000000001E-2</v>
      </c>
      <c r="U48" s="173">
        <f>ROUND(E48*T48,2)</f>
        <v>1.28</v>
      </c>
      <c r="V48" s="175"/>
      <c r="W48" s="175"/>
      <c r="X48" s="175"/>
      <c r="Y48" s="175"/>
      <c r="Z48" s="175"/>
      <c r="AA48" s="175"/>
      <c r="AB48" s="175"/>
      <c r="AC48" s="175"/>
      <c r="AD48" s="175"/>
      <c r="AE48" s="175" t="s">
        <v>114</v>
      </c>
      <c r="AF48" s="175"/>
      <c r="AG48" s="175"/>
      <c r="AH48" s="175"/>
      <c r="AI48" s="175"/>
      <c r="AJ48" s="175"/>
      <c r="AK48" s="175"/>
      <c r="AL48" s="175"/>
      <c r="AM48" s="175"/>
      <c r="AN48" s="175"/>
      <c r="AO48" s="175"/>
      <c r="AP48" s="175"/>
      <c r="AQ48" s="175"/>
      <c r="AR48" s="175"/>
      <c r="AS48" s="175"/>
      <c r="AT48" s="175"/>
      <c r="AU48" s="175"/>
      <c r="AV48" s="175"/>
      <c r="AW48" s="175"/>
      <c r="AX48" s="175"/>
      <c r="AY48" s="175"/>
      <c r="AZ48" s="175"/>
      <c r="BA48" s="175"/>
      <c r="BB48" s="175"/>
      <c r="BC48" s="175"/>
      <c r="BD48" s="175"/>
      <c r="BE48" s="175"/>
      <c r="BF48" s="175"/>
      <c r="BG48" s="175"/>
      <c r="BH48" s="175"/>
    </row>
    <row r="49" spans="1:60" x14ac:dyDescent="0.3">
      <c r="A49" s="176" t="s">
        <v>109</v>
      </c>
      <c r="B49" s="177" t="s">
        <v>35</v>
      </c>
      <c r="C49" s="178" t="s">
        <v>36</v>
      </c>
      <c r="D49" s="179"/>
      <c r="E49" s="180"/>
      <c r="F49" s="181"/>
      <c r="G49" s="181">
        <f>SUMIF(AE50,"&lt;&gt;NOR",G50)</f>
        <v>5688.11</v>
      </c>
      <c r="H49" s="181"/>
      <c r="I49" s="181">
        <f>SUM(I50)</f>
        <v>0</v>
      </c>
      <c r="J49" s="181"/>
      <c r="K49" s="181">
        <f>SUM(K50)</f>
        <v>5688.11</v>
      </c>
      <c r="L49" s="181"/>
      <c r="M49" s="181">
        <f>SUM(M50)</f>
        <v>6882.6130999999996</v>
      </c>
      <c r="N49" s="182"/>
      <c r="O49" s="182">
        <f>SUM(O50)</f>
        <v>0</v>
      </c>
      <c r="P49" s="182"/>
      <c r="Q49" s="182">
        <f>SUM(Q50)</f>
        <v>0</v>
      </c>
      <c r="R49" s="182"/>
      <c r="S49" s="182"/>
      <c r="T49" s="183"/>
      <c r="U49" s="182">
        <f>SUM(U50)</f>
        <v>0</v>
      </c>
      <c r="AE49" t="s">
        <v>110</v>
      </c>
    </row>
    <row r="50" spans="1:60" outlineLevel="1" x14ac:dyDescent="0.3">
      <c r="A50" s="184">
        <v>35</v>
      </c>
      <c r="B50" s="185" t="s">
        <v>184</v>
      </c>
      <c r="C50" s="186" t="s">
        <v>185</v>
      </c>
      <c r="D50" s="187" t="s">
        <v>23</v>
      </c>
      <c r="E50" s="188">
        <v>1</v>
      </c>
      <c r="F50" s="189">
        <v>5688.11</v>
      </c>
      <c r="G50" s="190">
        <v>5688.11</v>
      </c>
      <c r="H50" s="189">
        <v>0</v>
      </c>
      <c r="I50" s="190">
        <f>ROUND(E50*H50,2)</f>
        <v>0</v>
      </c>
      <c r="J50" s="189">
        <v>5688.11</v>
      </c>
      <c r="K50" s="190">
        <f>ROUND(E50*J50,2)</f>
        <v>5688.11</v>
      </c>
      <c r="L50" s="190">
        <v>21</v>
      </c>
      <c r="M50" s="190">
        <f>G50*(1+L50/100)</f>
        <v>6882.6130999999996</v>
      </c>
      <c r="N50" s="191">
        <v>0</v>
      </c>
      <c r="O50" s="191">
        <f>ROUND(E50*N50,5)</f>
        <v>0</v>
      </c>
      <c r="P50" s="191">
        <v>0</v>
      </c>
      <c r="Q50" s="191">
        <f>ROUND(E50*P50,5)</f>
        <v>0</v>
      </c>
      <c r="R50" s="191"/>
      <c r="S50" s="191"/>
      <c r="T50" s="192">
        <v>0</v>
      </c>
      <c r="U50" s="191">
        <f>ROUND(E50*T50,2)</f>
        <v>0</v>
      </c>
      <c r="V50" s="175"/>
      <c r="W50" s="175"/>
      <c r="X50" s="175"/>
      <c r="Y50" s="175"/>
      <c r="Z50" s="175"/>
      <c r="AA50" s="175"/>
      <c r="AB50" s="175"/>
      <c r="AC50" s="175"/>
      <c r="AD50" s="175"/>
      <c r="AE50" s="175" t="s">
        <v>114</v>
      </c>
      <c r="AF50" s="175"/>
      <c r="AG50" s="175"/>
      <c r="AH50" s="175"/>
      <c r="AI50" s="175"/>
      <c r="AJ50" s="175"/>
      <c r="AK50" s="175"/>
      <c r="AL50" s="175"/>
      <c r="AM50" s="175"/>
      <c r="AN50" s="175"/>
      <c r="AO50" s="175"/>
      <c r="AP50" s="175"/>
      <c r="AQ50" s="175"/>
      <c r="AR50" s="175"/>
      <c r="AS50" s="175"/>
      <c r="AT50" s="175"/>
      <c r="AU50" s="175"/>
      <c r="AV50" s="175"/>
      <c r="AW50" s="175"/>
      <c r="AX50" s="175"/>
      <c r="AY50" s="175"/>
      <c r="AZ50" s="175"/>
      <c r="BA50" s="175"/>
      <c r="BB50" s="175"/>
      <c r="BC50" s="175"/>
      <c r="BD50" s="175"/>
      <c r="BE50" s="175"/>
      <c r="BF50" s="175"/>
      <c r="BG50" s="175"/>
      <c r="BH50" s="175"/>
    </row>
    <row r="51" spans="1:60" x14ac:dyDescent="0.3">
      <c r="A51" s="136"/>
      <c r="B51" s="140" t="s">
        <v>186</v>
      </c>
      <c r="C51" s="193" t="s">
        <v>186</v>
      </c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  <c r="T51" s="136"/>
      <c r="U51" s="136"/>
      <c r="AC51">
        <v>15</v>
      </c>
      <c r="AD51">
        <v>21</v>
      </c>
    </row>
    <row r="52" spans="1:60" x14ac:dyDescent="0.3">
      <c r="A52" s="194"/>
      <c r="B52" s="195">
        <v>26</v>
      </c>
      <c r="C52" s="196" t="s">
        <v>186</v>
      </c>
      <c r="D52" s="197"/>
      <c r="E52" s="197"/>
      <c r="F52" s="197"/>
      <c r="G52" s="198">
        <f>G8+G10+G14+G16+G25+G32+G45+G49</f>
        <v>134447.51999999999</v>
      </c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  <c r="T52" s="136"/>
      <c r="U52" s="136"/>
      <c r="AC52">
        <f>SUMIF(L7:L50,AC51,G7:G50)</f>
        <v>0</v>
      </c>
      <c r="AD52">
        <f>SUMIF(L7:L50,AD51,G7:G50)</f>
        <v>134447.51999999999</v>
      </c>
      <c r="AE52" t="s">
        <v>187</v>
      </c>
    </row>
    <row r="53" spans="1:60" x14ac:dyDescent="0.3">
      <c r="A53" s="136"/>
      <c r="B53" s="140" t="s">
        <v>186</v>
      </c>
      <c r="C53" s="193" t="s">
        <v>186</v>
      </c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  <c r="T53" s="136"/>
      <c r="U53" s="136"/>
    </row>
    <row r="54" spans="1:60" x14ac:dyDescent="0.3">
      <c r="A54" s="136"/>
      <c r="B54" s="140" t="s">
        <v>186</v>
      </c>
      <c r="C54" s="193" t="s">
        <v>186</v>
      </c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</row>
    <row r="55" spans="1:60" x14ac:dyDescent="0.3">
      <c r="A55" s="260">
        <v>33</v>
      </c>
      <c r="B55" s="260"/>
      <c r="C55" s="261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  <c r="T55" s="136"/>
      <c r="U55" s="136"/>
    </row>
    <row r="56" spans="1:60" x14ac:dyDescent="0.3">
      <c r="A56" s="262"/>
      <c r="B56" s="263"/>
      <c r="C56" s="264"/>
      <c r="D56" s="263"/>
      <c r="E56" s="263"/>
      <c r="F56" s="263"/>
      <c r="G56" s="265"/>
      <c r="H56" s="136"/>
      <c r="I56" s="136"/>
      <c r="J56" s="136"/>
      <c r="K56" s="136"/>
      <c r="L56" s="136"/>
      <c r="M56" s="136"/>
      <c r="N56" s="136"/>
      <c r="O56" s="136"/>
      <c r="P56" s="136"/>
      <c r="Q56" s="136"/>
      <c r="R56" s="136"/>
      <c r="S56" s="136"/>
      <c r="T56" s="136"/>
      <c r="U56" s="136"/>
      <c r="AE56" t="s">
        <v>188</v>
      </c>
    </row>
    <row r="57" spans="1:60" x14ac:dyDescent="0.3">
      <c r="A57" s="266"/>
      <c r="B57" s="267"/>
      <c r="C57" s="268"/>
      <c r="D57" s="267"/>
      <c r="E57" s="267"/>
      <c r="F57" s="267"/>
      <c r="G57" s="269"/>
      <c r="H57" s="136"/>
      <c r="I57" s="136"/>
      <c r="J57" s="136"/>
      <c r="K57" s="136"/>
      <c r="L57" s="136"/>
      <c r="M57" s="136"/>
      <c r="N57" s="136"/>
      <c r="O57" s="136"/>
      <c r="P57" s="136"/>
      <c r="Q57" s="136"/>
      <c r="R57" s="136"/>
      <c r="S57" s="136"/>
      <c r="T57" s="136"/>
      <c r="U57" s="136"/>
    </row>
    <row r="58" spans="1:60" x14ac:dyDescent="0.3">
      <c r="A58" s="266"/>
      <c r="B58" s="267"/>
      <c r="C58" s="268"/>
      <c r="D58" s="267"/>
      <c r="E58" s="267"/>
      <c r="F58" s="267"/>
      <c r="G58" s="269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</row>
    <row r="59" spans="1:60" x14ac:dyDescent="0.3">
      <c r="A59" s="266"/>
      <c r="B59" s="267"/>
      <c r="C59" s="268"/>
      <c r="D59" s="267"/>
      <c r="E59" s="267"/>
      <c r="F59" s="267"/>
      <c r="G59" s="269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  <c r="T59" s="136"/>
      <c r="U59" s="136"/>
    </row>
    <row r="60" spans="1:60" x14ac:dyDescent="0.3">
      <c r="A60" s="270"/>
      <c r="B60" s="271"/>
      <c r="C60" s="272"/>
      <c r="D60" s="271"/>
      <c r="E60" s="271"/>
      <c r="F60" s="271"/>
      <c r="G60" s="273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136"/>
      <c r="T60" s="136"/>
      <c r="U60" s="136"/>
    </row>
    <row r="61" spans="1:60" x14ac:dyDescent="0.3">
      <c r="A61" s="136"/>
      <c r="B61" s="140" t="s">
        <v>186</v>
      </c>
      <c r="C61" s="193" t="s">
        <v>186</v>
      </c>
      <c r="D61" s="136"/>
      <c r="E61" s="136"/>
      <c r="F61" s="136"/>
      <c r="G61" s="136"/>
      <c r="H61" s="136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6"/>
      <c r="T61" s="136"/>
      <c r="U61" s="136"/>
    </row>
    <row r="62" spans="1:60" x14ac:dyDescent="0.3">
      <c r="C62" s="199"/>
      <c r="AE62" t="s">
        <v>189</v>
      </c>
    </row>
  </sheetData>
  <mergeCells count="6">
    <mergeCell ref="A56:G60"/>
    <mergeCell ref="A1:G1"/>
    <mergeCell ref="C2:G2"/>
    <mergeCell ref="C3:G3"/>
    <mergeCell ref="C4:G4"/>
    <mergeCell ref="A55:C55"/>
  </mergeCells>
  <pageMargins left="0.59027779999999996" right="0.39374999999999999" top="0.78749999999999998" bottom="0.78749999999999998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Žlebčík Mojmír - Raeder&amp;Falge</cp:lastModifiedBy>
  <cp:lastPrinted>2014-02-28T09:52:57Z</cp:lastPrinted>
  <dcterms:created xsi:type="dcterms:W3CDTF">2009-04-08T07:15:50Z</dcterms:created>
  <dcterms:modified xsi:type="dcterms:W3CDTF">2021-04-01T12:55:57Z</dcterms:modified>
</cp:coreProperties>
</file>